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autoCompressPictures="0" defaultThemeVersion="124226"/>
  <mc:AlternateContent xmlns:mc="http://schemas.openxmlformats.org/markup-compatibility/2006">
    <mc:Choice Requires="x15">
      <x15ac:absPath xmlns:x15ac="http://schemas.microsoft.com/office/spreadsheetml/2010/11/ac" url="https://centllec-my.sharepoint.com/personal/ramabilikoe_mosola_centlec_co_za/Documents/Documents/Billys Doc/BUDGET AND REPORTING/202603/Annexures/"/>
    </mc:Choice>
  </mc:AlternateContent>
  <xr:revisionPtr revIDLastSave="0" documentId="8_{FA525CA4-E136-413D-87C6-328A5793A62A}" xr6:coauthVersionLast="47" xr6:coauthVersionMax="47" xr10:uidLastSave="{00000000-0000-0000-0000-000000000000}"/>
  <bookViews>
    <workbookView xWindow="-110" yWindow="-110" windowWidth="19420" windowHeight="10420" tabRatio="871" activeTab="15" xr2:uid="{00000000-000D-0000-FFFF-FFFF00000000}"/>
  </bookViews>
  <sheets>
    <sheet name="Tariff SUMMARY 26-27" sheetId="30" r:id="rId1"/>
    <sheet name="FBE" sheetId="31" state="hidden" r:id="rId2"/>
    <sheet name="Summary" sheetId="27" state="hidden" r:id="rId3"/>
    <sheet name="Tariff Structure to complete" sheetId="3" state="hidden" r:id="rId4"/>
    <sheet name="MSCOA - Tariff Structure" sheetId="28" r:id="rId5"/>
    <sheet name="Tariff SUMMARY 25-26" sheetId="42" state="hidden" r:id="rId6"/>
    <sheet name="Tariff Rand Values Old" sheetId="18" state="hidden" r:id="rId7"/>
    <sheet name="TariffRandValuesReworked" sheetId="36" state="hidden" r:id="rId8"/>
    <sheet name="ReducedRandValuesOld" sheetId="34" state="hidden" r:id="rId9"/>
    <sheet name="TariffRandValues20232024" sheetId="37" state="hidden" r:id="rId10"/>
    <sheet name="TariffRandValues2324Reworked" sheetId="38" state="hidden" r:id="rId11"/>
    <sheet name="Tariff Rand Values 2024-25" sheetId="33" state="hidden" r:id="rId12"/>
    <sheet name="Tariff Rand Values 2024-25 Actu" sheetId="40" state="hidden" r:id="rId13"/>
    <sheet name="Tariff Rand Values 2025-26" sheetId="39" r:id="rId14"/>
    <sheet name="Tariff Rand Values 2026-27" sheetId="41" r:id="rId15"/>
    <sheet name="Annexure A" sheetId="19" r:id="rId16"/>
    <sheet name="NewNew" sheetId="35" state="hidden" r:id="rId17"/>
    <sheet name="SOLAR BUDGET " sheetId="29" state="hidden" r:id="rId18"/>
    <sheet name="SCOA 5.3" sheetId="13" state="hidden" r:id="rId19"/>
    <sheet name="BP091-TARIFF-CENTLE-EL" sheetId="11" state="hidden" r:id="rId20"/>
    <sheet name="BUDGET FIGURES - APPROVED" sheetId="8" state="hidden" r:id="rId21"/>
    <sheet name="Lenka - mSCOA MAPPING" sheetId="9" state="hidden" r:id="rId22"/>
    <sheet name="Tariff - RAND VALUES" sheetId="6" state="hidden" r:id="rId23"/>
    <sheet name="V5.1 (SCOA FRAMWORK)" sheetId="1" state="hidden" r:id="rId24"/>
    <sheet name="R-Value" sheetId="22" state="hidden" r:id="rId25"/>
    <sheet name="CFO - 1" sheetId="24" state="hidden" r:id="rId26"/>
    <sheet name="CFO - 2 Presentation" sheetId="25" state="hidden" r:id="rId27"/>
  </sheets>
  <externalReferences>
    <externalReference r:id="rId28"/>
  </externalReferences>
  <definedNames>
    <definedName name="_xlnm._FilterDatabase" localSheetId="19" hidden="1">'BP091-TARIFF-CENTLE-EL'!$A$1:$BP$313</definedName>
    <definedName name="_xlnm._FilterDatabase" localSheetId="4" hidden="1">'MSCOA - Tariff Structure'!$A$3:$X$3</definedName>
    <definedName name="_xlnm._FilterDatabase" localSheetId="3" hidden="1">'Tariff Structure to complete'!$A$3:$Y$3</definedName>
    <definedName name="_xlnm._FilterDatabase" localSheetId="23" hidden="1">'V5.1 (SCOA FRAMWORK)'!$A$6:$IK$52</definedName>
    <definedName name="Asset_Management_Guide">#REF!</definedName>
    <definedName name="iglrbsitem">#REF!</definedName>
    <definedName name="Legends" localSheetId="25">#REF!</definedName>
    <definedName name="Legends" localSheetId="26">#REF!</definedName>
    <definedName name="Legends" localSheetId="4">#REF!</definedName>
    <definedName name="Legends" localSheetId="2">#REF!</definedName>
    <definedName name="Legends" localSheetId="0">#REF!</definedName>
    <definedName name="Legends">#REF!</definedName>
    <definedName name="_xlnm.Print_Area" localSheetId="15">'Annexure A'!$A$1:$Y$137</definedName>
    <definedName name="_xlnm.Print_Area" localSheetId="25">#REF!</definedName>
    <definedName name="_xlnm.Print_Area" localSheetId="26">'CFO - 2 Presentation'!$A$3:$D$112</definedName>
    <definedName name="_xlnm.Print_Area" localSheetId="4">'MSCOA - Tariff Structure'!$M$1:$V$152</definedName>
    <definedName name="_xlnm.Print_Area" localSheetId="2">Summary!$A$3:$A$113</definedName>
    <definedName name="_xlnm.Print_Area" localSheetId="11">'Tariff Rand Values 2024-25'!$A$1:$X$114</definedName>
    <definedName name="_xlnm.Print_Area" localSheetId="13">'Tariff Rand Values 2025-26'!$A$1:$W$114</definedName>
    <definedName name="_xlnm.Print_Area" localSheetId="6">'Tariff Rand Values Old'!$A$1:$D$99</definedName>
    <definedName name="_xlnm.Print_Area" localSheetId="0">'Tariff SUMMARY 26-27'!$A$1:$E$25</definedName>
    <definedName name="_xlnm.Print_Area" localSheetId="23">'V5.1 (SCOA FRAMWORK)'!$X$7:$AG$52</definedName>
    <definedName name="_xlnm.Print_Area">#REF!</definedName>
    <definedName name="PRINT_AREA_MI" localSheetId="25">#REF!</definedName>
    <definedName name="PRINT_AREA_MI" localSheetId="26">#REF!</definedName>
    <definedName name="PRINT_AREA_MI" localSheetId="4">#REF!</definedName>
    <definedName name="PRINT_AREA_MI" localSheetId="2">#REF!</definedName>
    <definedName name="PRINT_AREA_MI" localSheetId="0">#REF!</definedName>
    <definedName name="PRINT_AREA_MI">#REF!</definedName>
    <definedName name="_xlnm.Print_Titles" localSheetId="23">'V5.1 (SCOA FRAMWORK)'!$3:$5</definedName>
    <definedName name="Reference" localSheetId="25">#REF!</definedName>
    <definedName name="Reference" localSheetId="26">#REF!</definedName>
    <definedName name="Reference" localSheetId="4">#REF!</definedName>
    <definedName name="Reference" localSheetId="2">#REF!</definedName>
    <definedName name="Reference" localSheetId="0">#REF!</definedName>
    <definedName name="Reference">#REF!</definedName>
    <definedName name="Results" localSheetId="25">#REF!</definedName>
    <definedName name="Results" localSheetId="26">#REF!</definedName>
    <definedName name="Results" localSheetId="4">#REF!</definedName>
    <definedName name="Results" localSheetId="2">#REF!</definedName>
    <definedName name="Results" localSheetId="0">#REF!</definedName>
    <definedName name="Resul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0" i="28" l="1"/>
  <c r="V126" i="28"/>
  <c r="V125" i="28"/>
  <c r="V124" i="28"/>
  <c r="V123" i="28"/>
  <c r="V122" i="28"/>
  <c r="V121" i="28"/>
  <c r="V119" i="28"/>
  <c r="V118" i="28"/>
  <c r="V117" i="28"/>
  <c r="V116" i="28"/>
  <c r="V115" i="28"/>
  <c r="V114" i="28"/>
  <c r="V112" i="28"/>
  <c r="V111" i="28"/>
  <c r="V109" i="28"/>
  <c r="V108" i="28"/>
  <c r="V106" i="28"/>
  <c r="V105" i="28"/>
  <c r="V104" i="28"/>
  <c r="V103" i="28"/>
  <c r="V102" i="28"/>
  <c r="V101" i="28"/>
  <c r="V99" i="28"/>
  <c r="V98" i="28"/>
  <c r="V96" i="28"/>
  <c r="V95" i="28"/>
  <c r="V94" i="28"/>
  <c r="V93" i="28"/>
  <c r="V92" i="28"/>
  <c r="V91" i="28"/>
  <c r="V89" i="28"/>
  <c r="V88" i="28"/>
  <c r="V86" i="28"/>
  <c r="V85" i="28"/>
  <c r="V84" i="28"/>
  <c r="V83" i="28"/>
  <c r="V82" i="28"/>
  <c r="V81" i="28"/>
  <c r="V78" i="28"/>
  <c r="V77" i="28"/>
  <c r="V76" i="28"/>
  <c r="V75" i="28"/>
  <c r="V74" i="28"/>
  <c r="V73" i="28"/>
  <c r="V70" i="28"/>
  <c r="V69" i="28"/>
  <c r="V68" i="28"/>
  <c r="V67" i="28"/>
  <c r="V66" i="28"/>
  <c r="V65" i="28"/>
  <c r="V63" i="28"/>
  <c r="V62" i="28"/>
  <c r="V55" i="28"/>
  <c r="V53" i="28"/>
  <c r="V52" i="28"/>
  <c r="V51" i="28"/>
  <c r="V50" i="28"/>
  <c r="V49" i="28"/>
  <c r="V48" i="28"/>
  <c r="V46" i="28"/>
  <c r="V44" i="28"/>
  <c r="V43" i="28"/>
  <c r="V42" i="28"/>
  <c r="V41" i="28"/>
  <c r="V40" i="28"/>
  <c r="V39" i="28"/>
  <c r="V36" i="28"/>
  <c r="V35" i="28"/>
  <c r="V34" i="28"/>
  <c r="V33" i="28"/>
  <c r="V32" i="28"/>
  <c r="V31" i="28"/>
  <c r="K110" i="41"/>
  <c r="L110" i="41"/>
  <c r="M110" i="41"/>
  <c r="N110" i="41"/>
  <c r="O110" i="41"/>
  <c r="P110" i="41"/>
  <c r="Q110" i="41"/>
  <c r="R110" i="41"/>
  <c r="S110" i="41"/>
  <c r="T110" i="41"/>
  <c r="U110" i="41"/>
  <c r="M11" i="41"/>
  <c r="N11" i="41"/>
  <c r="O11" i="41"/>
  <c r="P11" i="41"/>
  <c r="Q11" i="41"/>
  <c r="R11" i="41"/>
  <c r="S11" i="41"/>
  <c r="T11" i="41"/>
  <c r="L11" i="41"/>
  <c r="U11" i="41"/>
  <c r="J11" i="41"/>
  <c r="K11" i="41"/>
  <c r="M15" i="41"/>
  <c r="N15" i="41"/>
  <c r="O15" i="41"/>
  <c r="P15" i="41"/>
  <c r="Q15" i="41"/>
  <c r="R15" i="41"/>
  <c r="S15" i="41"/>
  <c r="T15" i="41"/>
  <c r="L15" i="41"/>
  <c r="U15" i="41"/>
  <c r="K15" i="41"/>
  <c r="J15" i="41"/>
  <c r="U32" i="41"/>
  <c r="M32" i="41"/>
  <c r="N32" i="41"/>
  <c r="O32" i="41"/>
  <c r="P32" i="41"/>
  <c r="Q32" i="41"/>
  <c r="R32" i="41"/>
  <c r="S32" i="41"/>
  <c r="T32" i="41"/>
  <c r="L32" i="41"/>
  <c r="K32" i="41"/>
  <c r="J32" i="41"/>
  <c r="Y49" i="19" l="1"/>
  <c r="X20" i="19"/>
  <c r="Y20" i="19" s="1"/>
  <c r="V13" i="19"/>
  <c r="U20" i="19"/>
  <c r="V20" i="19" s="1"/>
  <c r="Y13" i="19"/>
  <c r="I11" i="41"/>
  <c r="S59" i="28"/>
  <c r="S58" i="28"/>
  <c r="V49" i="19" l="1"/>
  <c r="W49" i="19" s="1"/>
  <c r="U43" i="19"/>
  <c r="X43" i="19"/>
  <c r="W20" i="19"/>
  <c r="W13" i="19"/>
  <c r="K33" i="41"/>
  <c r="P30" i="41"/>
  <c r="Q30" i="41"/>
  <c r="R30" i="41"/>
  <c r="S30" i="41"/>
  <c r="T30" i="41"/>
  <c r="U30" i="41"/>
  <c r="J110" i="41" l="1"/>
  <c r="K103" i="41"/>
  <c r="L103" i="41"/>
  <c r="M103" i="41"/>
  <c r="N103" i="41"/>
  <c r="O103" i="41"/>
  <c r="P103" i="41"/>
  <c r="Q103" i="41"/>
  <c r="R103" i="41"/>
  <c r="S103" i="41"/>
  <c r="T103" i="41"/>
  <c r="U103" i="41"/>
  <c r="J103" i="41"/>
  <c r="V128" i="28"/>
  <c r="K29" i="41"/>
  <c r="L29" i="41"/>
  <c r="M29" i="41"/>
  <c r="N29" i="41"/>
  <c r="O29" i="41"/>
  <c r="P29" i="41"/>
  <c r="Q29" i="41"/>
  <c r="R29" i="41"/>
  <c r="S29" i="41"/>
  <c r="T29" i="41"/>
  <c r="U29" i="41"/>
  <c r="J29" i="41"/>
  <c r="E6" i="30"/>
  <c r="V11" i="41"/>
  <c r="U62" i="41"/>
  <c r="J61" i="41"/>
  <c r="V15" i="41" l="1"/>
  <c r="W11" i="41"/>
  <c r="I15" i="41"/>
  <c r="I32" i="41"/>
  <c r="T57" i="28" s="1"/>
  <c r="U57" i="28" s="1"/>
  <c r="V57" i="28" s="1"/>
  <c r="V29" i="41"/>
  <c r="V32" i="41"/>
  <c r="W32" i="41"/>
  <c r="I29" i="41"/>
  <c r="W29" i="41"/>
  <c r="W15" i="41"/>
  <c r="T21" i="28"/>
  <c r="U21" i="28" s="1"/>
  <c r="V21" i="28" s="1"/>
  <c r="E3" i="30"/>
  <c r="D23" i="30" s="1"/>
  <c r="T17" i="28" l="1"/>
  <c r="U17" i="28" s="1"/>
  <c r="V17" i="28" s="1"/>
  <c r="T61" i="28"/>
  <c r="U61" i="28" s="1"/>
  <c r="V61" i="28" s="1"/>
  <c r="B25" i="30"/>
  <c r="D7" i="30"/>
  <c r="G6" i="42"/>
  <c r="D24" i="42" l="1"/>
  <c r="B26" i="42"/>
  <c r="E26" i="42"/>
  <c r="C26" i="42"/>
  <c r="D25" i="42"/>
  <c r="A14" i="42"/>
  <c r="D7" i="42"/>
  <c r="D23" i="42" l="1"/>
  <c r="D22" i="42"/>
  <c r="A22" i="42"/>
  <c r="D21" i="42"/>
  <c r="A21" i="42"/>
  <c r="D20" i="42"/>
  <c r="A20" i="42"/>
  <c r="D19" i="42"/>
  <c r="A19" i="42"/>
  <c r="D18" i="42"/>
  <c r="A18" i="42"/>
  <c r="D17" i="42"/>
  <c r="A17" i="42"/>
  <c r="D16" i="42"/>
  <c r="A16" i="42"/>
  <c r="D15" i="42"/>
  <c r="A15" i="42"/>
  <c r="D14" i="42"/>
  <c r="D13" i="42"/>
  <c r="A13" i="42"/>
  <c r="D12" i="42"/>
  <c r="A12" i="42"/>
  <c r="D11" i="42"/>
  <c r="A11" i="42"/>
  <c r="D10" i="42"/>
  <c r="A10" i="42"/>
  <c r="D9" i="42"/>
  <c r="A9" i="42"/>
  <c r="D8" i="42"/>
  <c r="A8" i="42"/>
  <c r="D6" i="42"/>
  <c r="A6" i="42"/>
  <c r="J42" i="41"/>
  <c r="K42" i="41"/>
  <c r="L42" i="41"/>
  <c r="M42" i="41"/>
  <c r="J43" i="41"/>
  <c r="K43" i="41"/>
  <c r="L43" i="41"/>
  <c r="M43" i="41"/>
  <c r="K41" i="41"/>
  <c r="L41" i="41"/>
  <c r="M41" i="41"/>
  <c r="J41" i="41"/>
  <c r="D26" i="42" l="1"/>
  <c r="E25" i="30"/>
  <c r="W7" i="41" l="1"/>
  <c r="W8" i="41"/>
  <c r="X60" i="41"/>
  <c r="Q134" i="28"/>
  <c r="W9" i="41" l="1"/>
  <c r="Q151" i="28" l="1"/>
  <c r="Q145" i="28"/>
  <c r="Q143" i="28"/>
  <c r="Q150" i="28"/>
  <c r="Q5" i="28"/>
  <c r="Q144" i="28"/>
  <c r="Q140" i="28"/>
  <c r="Q146" i="28" l="1"/>
  <c r="Q6" i="28"/>
  <c r="Q4" i="28" l="1"/>
  <c r="Z26" i="41"/>
  <c r="Z27" i="41" s="1"/>
  <c r="R130" i="28"/>
  <c r="I85" i="40"/>
  <c r="Q63" i="40"/>
  <c r="P63" i="40"/>
  <c r="Q69" i="40"/>
  <c r="O63" i="40"/>
  <c r="P69" i="40"/>
  <c r="N63" i="40"/>
  <c r="O69" i="40"/>
  <c r="M63" i="40"/>
  <c r="N69" i="40"/>
  <c r="L63" i="40"/>
  <c r="M69" i="40"/>
  <c r="K63" i="40"/>
  <c r="L69" i="40"/>
  <c r="J63" i="40"/>
  <c r="K69" i="40"/>
  <c r="J69" i="40"/>
  <c r="K68" i="40"/>
  <c r="L68" i="40"/>
  <c r="M68" i="40"/>
  <c r="N68" i="40"/>
  <c r="O68" i="40"/>
  <c r="P68" i="40"/>
  <c r="Q68" i="40"/>
  <c r="R68" i="40"/>
  <c r="S68" i="40"/>
  <c r="T68" i="40"/>
  <c r="U68" i="40"/>
  <c r="J68" i="40"/>
  <c r="K62" i="40"/>
  <c r="L62" i="40"/>
  <c r="M62" i="40"/>
  <c r="N62" i="40"/>
  <c r="O62" i="40"/>
  <c r="P62" i="40"/>
  <c r="Q62" i="40"/>
  <c r="R62" i="40"/>
  <c r="S62" i="40"/>
  <c r="T62" i="40"/>
  <c r="U62" i="40"/>
  <c r="J62" i="40"/>
  <c r="Q50" i="40"/>
  <c r="Q49" i="40"/>
  <c r="P50" i="40"/>
  <c r="P49" i="40"/>
  <c r="Q57" i="40"/>
  <c r="O50" i="40"/>
  <c r="P57" i="40"/>
  <c r="O49" i="40"/>
  <c r="O57" i="40"/>
  <c r="N57" i="40"/>
  <c r="N50" i="40"/>
  <c r="N49" i="40"/>
  <c r="M57" i="40"/>
  <c r="L57" i="40"/>
  <c r="K57" i="40"/>
  <c r="J57" i="40"/>
  <c r="M50" i="40"/>
  <c r="Q56" i="40"/>
  <c r="P56" i="40"/>
  <c r="M49" i="40"/>
  <c r="O56" i="40"/>
  <c r="N56" i="40"/>
  <c r="M56" i="40"/>
  <c r="L56" i="40"/>
  <c r="K56" i="40"/>
  <c r="J56" i="40"/>
  <c r="K55" i="40"/>
  <c r="L55" i="40"/>
  <c r="M55" i="40"/>
  <c r="N55" i="40"/>
  <c r="O55" i="40"/>
  <c r="P55" i="40"/>
  <c r="Q55" i="40"/>
  <c r="R55" i="40"/>
  <c r="S55" i="40"/>
  <c r="T55" i="40"/>
  <c r="U55" i="40"/>
  <c r="K50" i="40"/>
  <c r="J55" i="40"/>
  <c r="L50" i="40"/>
  <c r="L49" i="40"/>
  <c r="K49" i="40"/>
  <c r="J50" i="40"/>
  <c r="J49" i="40"/>
  <c r="Q25" i="40"/>
  <c r="Q24" i="40"/>
  <c r="Q23" i="40"/>
  <c r="Q20" i="40"/>
  <c r="Q19" i="40"/>
  <c r="Q18" i="40"/>
  <c r="L48" i="40"/>
  <c r="M48" i="40"/>
  <c r="N48" i="40"/>
  <c r="O48" i="40"/>
  <c r="P48" i="40"/>
  <c r="Q48" i="40"/>
  <c r="R48" i="40"/>
  <c r="S48" i="40"/>
  <c r="T48" i="40"/>
  <c r="U48" i="40"/>
  <c r="K48" i="40"/>
  <c r="J48" i="40"/>
  <c r="Q46" i="40"/>
  <c r="Q45" i="40"/>
  <c r="Q44" i="40"/>
  <c r="Q43" i="40"/>
  <c r="Q42" i="40"/>
  <c r="P43" i="40"/>
  <c r="P42" i="40"/>
  <c r="O43" i="40"/>
  <c r="O42" i="40"/>
  <c r="Q76" i="40"/>
  <c r="Q75" i="40"/>
  <c r="Q74" i="40"/>
  <c r="N43" i="40"/>
  <c r="P76" i="40"/>
  <c r="N42" i="40"/>
  <c r="P75" i="40"/>
  <c r="P74" i="40"/>
  <c r="M43" i="40"/>
  <c r="M42" i="40"/>
  <c r="L43" i="40"/>
  <c r="L42" i="40"/>
  <c r="K43" i="40"/>
  <c r="K42" i="40"/>
  <c r="J42" i="40"/>
  <c r="J43" i="40"/>
  <c r="Q41" i="40"/>
  <c r="R41" i="40"/>
  <c r="S41" i="40"/>
  <c r="T41" i="40"/>
  <c r="U41" i="40"/>
  <c r="K41" i="40"/>
  <c r="L41" i="40"/>
  <c r="M41" i="40"/>
  <c r="N41" i="40"/>
  <c r="O41" i="40"/>
  <c r="P41" i="40"/>
  <c r="J41" i="40"/>
  <c r="K36" i="40"/>
  <c r="L36" i="40"/>
  <c r="M36" i="40"/>
  <c r="N36" i="40"/>
  <c r="O36" i="40"/>
  <c r="P36" i="40"/>
  <c r="Q36" i="40"/>
  <c r="R36" i="40"/>
  <c r="S36" i="40"/>
  <c r="T36" i="40"/>
  <c r="U36" i="40"/>
  <c r="J36" i="40"/>
  <c r="K31" i="40"/>
  <c r="L31" i="40"/>
  <c r="M31" i="40"/>
  <c r="N31" i="40"/>
  <c r="O31" i="40"/>
  <c r="P31" i="40"/>
  <c r="Q31" i="40"/>
  <c r="R31" i="40"/>
  <c r="S31" i="40"/>
  <c r="T31" i="40"/>
  <c r="U31" i="40"/>
  <c r="J31" i="40"/>
  <c r="K22" i="40"/>
  <c r="L22" i="40"/>
  <c r="M22" i="40"/>
  <c r="N22" i="40"/>
  <c r="O22" i="40"/>
  <c r="P22" i="40"/>
  <c r="Q22" i="40"/>
  <c r="R22" i="40"/>
  <c r="S22" i="40"/>
  <c r="T22" i="40"/>
  <c r="U22" i="40"/>
  <c r="J22" i="40"/>
  <c r="L17" i="40"/>
  <c r="M17" i="40"/>
  <c r="N17" i="40"/>
  <c r="O17" i="40"/>
  <c r="P17" i="40"/>
  <c r="Q17" i="40"/>
  <c r="R17" i="40"/>
  <c r="S17" i="40"/>
  <c r="T17" i="40"/>
  <c r="U17" i="40"/>
  <c r="K17" i="40"/>
  <c r="J17" i="40"/>
  <c r="J17" i="33"/>
  <c r="M89" i="28"/>
  <c r="M88" i="28"/>
  <c r="M87" i="28"/>
  <c r="M99" i="28"/>
  <c r="M98" i="28"/>
  <c r="M97" i="28"/>
  <c r="M109" i="28"/>
  <c r="M108" i="28"/>
  <c r="M107" i="28"/>
  <c r="V17" i="40" l="1"/>
  <c r="W17" i="40"/>
  <c r="V22" i="40"/>
  <c r="W22" i="40"/>
  <c r="V31" i="40"/>
  <c r="W31" i="40"/>
  <c r="V36" i="40"/>
  <c r="R79" i="28" s="1"/>
  <c r="I36" i="40"/>
  <c r="W36" i="40"/>
  <c r="V41" i="40"/>
  <c r="W41" i="40"/>
  <c r="V48" i="40"/>
  <c r="W48" i="40"/>
  <c r="V55" i="40"/>
  <c r="W55" i="40"/>
  <c r="I62" i="40"/>
  <c r="W62" i="40"/>
  <c r="V68" i="40"/>
  <c r="W68" i="40"/>
  <c r="Q92" i="40"/>
  <c r="V84" i="40"/>
  <c r="R132" i="28" s="1"/>
  <c r="W84" i="40"/>
  <c r="V85" i="40"/>
  <c r="W85" i="40"/>
  <c r="M92" i="40"/>
  <c r="N92" i="40"/>
  <c r="O92" i="40"/>
  <c r="I17" i="40"/>
  <c r="I41" i="40"/>
  <c r="X56" i="40"/>
  <c r="K92" i="40"/>
  <c r="L92" i="40"/>
  <c r="P92" i="40"/>
  <c r="J85" i="33"/>
  <c r="X56" i="39"/>
  <c r="R107" i="28" l="1"/>
  <c r="R87" i="28"/>
  <c r="R54" i="28"/>
  <c r="R71" i="28"/>
  <c r="R97" i="28"/>
  <c r="R37" i="28"/>
  <c r="R29" i="28"/>
  <c r="Q83" i="39"/>
  <c r="Q96" i="41" s="1"/>
  <c r="Q117" i="41" s="1"/>
  <c r="Q82" i="39"/>
  <c r="Q80" i="39"/>
  <c r="Q84" i="41" s="1"/>
  <c r="Q79" i="39"/>
  <c r="Q83" i="41" s="1"/>
  <c r="Q78" i="39"/>
  <c r="Q82" i="41" s="1"/>
  <c r="Q76" i="39"/>
  <c r="Q80" i="41" s="1"/>
  <c r="Q75" i="39"/>
  <c r="Q79" i="41" s="1"/>
  <c r="Q74" i="39"/>
  <c r="Q78" i="41" s="1"/>
  <c r="Q72" i="39"/>
  <c r="Q76" i="41" s="1"/>
  <c r="Q71" i="39"/>
  <c r="Q75" i="41" s="1"/>
  <c r="Q70" i="39"/>
  <c r="Q74" i="41" s="1"/>
  <c r="Q69" i="39"/>
  <c r="Q73" i="41" s="1"/>
  <c r="Q66" i="39"/>
  <c r="Q70" i="41" s="1"/>
  <c r="Q65" i="39"/>
  <c r="Q69" i="41" s="1"/>
  <c r="Q64" i="39"/>
  <c r="Q68" i="41" s="1"/>
  <c r="Q63" i="39"/>
  <c r="Q67" i="41" s="1"/>
  <c r="Q60" i="39"/>
  <c r="Q64" i="41" s="1"/>
  <c r="Q59" i="39"/>
  <c r="Q63" i="41" s="1"/>
  <c r="Q58" i="39"/>
  <c r="Q62" i="41" s="1"/>
  <c r="Q57" i="39"/>
  <c r="Q61" i="41" s="1"/>
  <c r="Q56" i="39"/>
  <c r="Q60" i="41" s="1"/>
  <c r="P83" i="39"/>
  <c r="P96" i="41" s="1"/>
  <c r="P117" i="41" s="1"/>
  <c r="P82" i="39"/>
  <c r="P80" i="39"/>
  <c r="P84" i="41" s="1"/>
  <c r="P79" i="39"/>
  <c r="P83" i="41" s="1"/>
  <c r="P78" i="39"/>
  <c r="P82" i="41" s="1"/>
  <c r="P76" i="39"/>
  <c r="P80" i="41" s="1"/>
  <c r="P75" i="39"/>
  <c r="P79" i="41" s="1"/>
  <c r="P74" i="39"/>
  <c r="P78" i="41" s="1"/>
  <c r="P72" i="39"/>
  <c r="P76" i="41" s="1"/>
  <c r="P71" i="39"/>
  <c r="P75" i="41" s="1"/>
  <c r="P70" i="39"/>
  <c r="P74" i="41" s="1"/>
  <c r="P69" i="39"/>
  <c r="P73" i="41" s="1"/>
  <c r="P66" i="39"/>
  <c r="P70" i="41" s="1"/>
  <c r="P65" i="39"/>
  <c r="P69" i="41" s="1"/>
  <c r="P64" i="39"/>
  <c r="P68" i="41" s="1"/>
  <c r="P63" i="39"/>
  <c r="P67" i="41" s="1"/>
  <c r="P60" i="39"/>
  <c r="P64" i="41" s="1"/>
  <c r="P59" i="39"/>
  <c r="P63" i="41" s="1"/>
  <c r="P58" i="39"/>
  <c r="P62" i="41" s="1"/>
  <c r="P57" i="39"/>
  <c r="P61" i="41" s="1"/>
  <c r="P56" i="39"/>
  <c r="P60" i="41" s="1"/>
  <c r="P53" i="39"/>
  <c r="P57" i="41" s="1"/>
  <c r="P52" i="39"/>
  <c r="P56" i="41" s="1"/>
  <c r="P51" i="39"/>
  <c r="P55" i="41" s="1"/>
  <c r="P50" i="39"/>
  <c r="P54" i="41" s="1"/>
  <c r="P49" i="39"/>
  <c r="P53" i="41" s="1"/>
  <c r="P46" i="39"/>
  <c r="P50" i="41" s="1"/>
  <c r="P45" i="39"/>
  <c r="P49" i="41" s="1"/>
  <c r="P44" i="39"/>
  <c r="P48" i="41" s="1"/>
  <c r="P43" i="39"/>
  <c r="P47" i="41" s="1"/>
  <c r="P42" i="39"/>
  <c r="P46" i="41" s="1"/>
  <c r="P39" i="39"/>
  <c r="P43" i="41" s="1"/>
  <c r="P38" i="39"/>
  <c r="P42" i="41" s="1"/>
  <c r="P37" i="39"/>
  <c r="P41" i="41" s="1"/>
  <c r="P34" i="39"/>
  <c r="P38" i="41" s="1"/>
  <c r="P33" i="39"/>
  <c r="P37" i="41" s="1"/>
  <c r="P32" i="39"/>
  <c r="P36" i="41" s="1"/>
  <c r="P29" i="39"/>
  <c r="P33" i="41" s="1"/>
  <c r="P27" i="39"/>
  <c r="P25" i="39"/>
  <c r="P27" i="41" s="1"/>
  <c r="P24" i="39"/>
  <c r="P26" i="41" s="1"/>
  <c r="P23" i="39"/>
  <c r="P25" i="41" s="1"/>
  <c r="P20" i="39"/>
  <c r="P22" i="41" s="1"/>
  <c r="P19" i="39"/>
  <c r="P21" i="41" s="1"/>
  <c r="P18" i="39"/>
  <c r="P20" i="41" s="1"/>
  <c r="O83" i="39"/>
  <c r="O96" i="41" s="1"/>
  <c r="O117" i="41" s="1"/>
  <c r="N83" i="39"/>
  <c r="N82" i="39"/>
  <c r="N80" i="39"/>
  <c r="N84" i="41" s="1"/>
  <c r="N79" i="39"/>
  <c r="N83" i="41" s="1"/>
  <c r="N78" i="39"/>
  <c r="N82" i="41" s="1"/>
  <c r="N76" i="39"/>
  <c r="N80" i="41" s="1"/>
  <c r="N75" i="39"/>
  <c r="N79" i="41" s="1"/>
  <c r="N74" i="39"/>
  <c r="N78" i="41" s="1"/>
  <c r="N72" i="39"/>
  <c r="N76" i="41" s="1"/>
  <c r="N71" i="39"/>
  <c r="N75" i="41" s="1"/>
  <c r="N70" i="39"/>
  <c r="N74" i="41" s="1"/>
  <c r="N69" i="39"/>
  <c r="N73" i="41" s="1"/>
  <c r="N66" i="39"/>
  <c r="N70" i="41" s="1"/>
  <c r="N65" i="39"/>
  <c r="N69" i="41" s="1"/>
  <c r="N64" i="39"/>
  <c r="N68" i="41" s="1"/>
  <c r="N63" i="39"/>
  <c r="N67" i="41" s="1"/>
  <c r="N60" i="39"/>
  <c r="N64" i="41" s="1"/>
  <c r="N59" i="39"/>
  <c r="N63" i="41" s="1"/>
  <c r="N58" i="39"/>
  <c r="N62" i="41" s="1"/>
  <c r="N57" i="39"/>
  <c r="N61" i="41" s="1"/>
  <c r="N56" i="39"/>
  <c r="N60" i="41" s="1"/>
  <c r="N53" i="39"/>
  <c r="N57" i="41" s="1"/>
  <c r="N52" i="39"/>
  <c r="N56" i="41" s="1"/>
  <c r="N51" i="39"/>
  <c r="N55" i="41" s="1"/>
  <c r="N50" i="39"/>
  <c r="N54" i="41" s="1"/>
  <c r="N49" i="39"/>
  <c r="N53" i="41" s="1"/>
  <c r="N46" i="39"/>
  <c r="N50" i="41" s="1"/>
  <c r="N45" i="39"/>
  <c r="N49" i="41" s="1"/>
  <c r="N44" i="39"/>
  <c r="N48" i="41" s="1"/>
  <c r="N43" i="39"/>
  <c r="N47" i="41" s="1"/>
  <c r="N42" i="39"/>
  <c r="N46" i="41" s="1"/>
  <c r="N39" i="39"/>
  <c r="N43" i="41" s="1"/>
  <c r="N38" i="39"/>
  <c r="N42" i="41" s="1"/>
  <c r="N37" i="39"/>
  <c r="N41" i="41" s="1"/>
  <c r="N34" i="39"/>
  <c r="N38" i="41" s="1"/>
  <c r="N33" i="39"/>
  <c r="N37" i="41" s="1"/>
  <c r="N32" i="39"/>
  <c r="N36" i="41" s="1"/>
  <c r="N29" i="39"/>
  <c r="N33" i="41" s="1"/>
  <c r="N27" i="39"/>
  <c r="N30" i="41" s="1"/>
  <c r="N25" i="39"/>
  <c r="N27" i="41" s="1"/>
  <c r="N24" i="39"/>
  <c r="N26" i="41" s="1"/>
  <c r="N23" i="39"/>
  <c r="N25" i="41" s="1"/>
  <c r="N20" i="39"/>
  <c r="N22" i="41" s="1"/>
  <c r="N19" i="39"/>
  <c r="N21" i="41" s="1"/>
  <c r="N18" i="39"/>
  <c r="N20" i="41" s="1"/>
  <c r="M96" i="41"/>
  <c r="M117" i="41" s="1"/>
  <c r="M84" i="41"/>
  <c r="M83" i="41"/>
  <c r="M82" i="41"/>
  <c r="M80" i="41"/>
  <c r="M79" i="41"/>
  <c r="M78" i="41"/>
  <c r="M76" i="41"/>
  <c r="M75" i="41"/>
  <c r="M74" i="41"/>
  <c r="M73" i="41"/>
  <c r="M70" i="41"/>
  <c r="M69" i="41"/>
  <c r="M68" i="41"/>
  <c r="M67" i="41"/>
  <c r="M64" i="41"/>
  <c r="M63" i="41"/>
  <c r="M62" i="41"/>
  <c r="M61" i="41"/>
  <c r="M60" i="41"/>
  <c r="M57" i="41"/>
  <c r="M56" i="41"/>
  <c r="M55" i="41"/>
  <c r="M54" i="41"/>
  <c r="M53" i="41"/>
  <c r="M50" i="41"/>
  <c r="M49" i="41"/>
  <c r="M48" i="41"/>
  <c r="M47" i="41"/>
  <c r="M46" i="41"/>
  <c r="M38" i="41"/>
  <c r="M37" i="41"/>
  <c r="M36" i="41"/>
  <c r="M33" i="41"/>
  <c r="M30" i="41"/>
  <c r="M27" i="41"/>
  <c r="M26" i="41"/>
  <c r="M25" i="41"/>
  <c r="M22" i="41"/>
  <c r="M21" i="41"/>
  <c r="M20" i="41"/>
  <c r="L96" i="41"/>
  <c r="L117" i="41" s="1"/>
  <c r="L84" i="41"/>
  <c r="L83" i="41"/>
  <c r="L82" i="41"/>
  <c r="L80" i="41"/>
  <c r="L79" i="41"/>
  <c r="L78" i="41"/>
  <c r="L76" i="41"/>
  <c r="L75" i="41"/>
  <c r="L74" i="41"/>
  <c r="L73" i="41"/>
  <c r="L70" i="41"/>
  <c r="L69" i="41"/>
  <c r="L68" i="41"/>
  <c r="L67" i="41"/>
  <c r="L64" i="41"/>
  <c r="L63" i="41"/>
  <c r="L62" i="41"/>
  <c r="L61" i="41"/>
  <c r="L60" i="41"/>
  <c r="L57" i="41"/>
  <c r="L56" i="41"/>
  <c r="K96" i="41"/>
  <c r="K117" i="41" s="1"/>
  <c r="K82" i="41"/>
  <c r="K76" i="41"/>
  <c r="K70" i="41"/>
  <c r="K64" i="41"/>
  <c r="K60" i="41"/>
  <c r="L55" i="41"/>
  <c r="J53" i="41"/>
  <c r="O44" i="39"/>
  <c r="O48" i="41" s="1"/>
  <c r="K46" i="41"/>
  <c r="Q37" i="39"/>
  <c r="Q41" i="41" s="1"/>
  <c r="L37" i="41"/>
  <c r="J33" i="41"/>
  <c r="O24" i="39"/>
  <c r="O26" i="41" s="1"/>
  <c r="K22" i="41"/>
  <c r="J82" i="41"/>
  <c r="J76" i="41"/>
  <c r="J70" i="41"/>
  <c r="J64" i="41"/>
  <c r="J60" i="41"/>
  <c r="K55" i="41"/>
  <c r="Q46" i="39"/>
  <c r="Q50" i="41" s="1"/>
  <c r="L48" i="41"/>
  <c r="J46" i="41"/>
  <c r="O37" i="39"/>
  <c r="O41" i="41" s="1"/>
  <c r="K37" i="41"/>
  <c r="Q27" i="39"/>
  <c r="L26" i="41"/>
  <c r="J22" i="41"/>
  <c r="J55" i="41"/>
  <c r="O82" i="39"/>
  <c r="O76" i="39"/>
  <c r="O80" i="41" s="1"/>
  <c r="O71" i="39"/>
  <c r="O75" i="41" s="1"/>
  <c r="O65" i="39"/>
  <c r="O69" i="41" s="1"/>
  <c r="O59" i="39"/>
  <c r="O63" i="41" s="1"/>
  <c r="Q53" i="39"/>
  <c r="Q57" i="41" s="1"/>
  <c r="O46" i="39"/>
  <c r="O50" i="41" s="1"/>
  <c r="K48" i="41"/>
  <c r="Q39" i="39"/>
  <c r="Q43" i="41" s="1"/>
  <c r="K80" i="41"/>
  <c r="K75" i="41"/>
  <c r="K69" i="41"/>
  <c r="K63" i="41"/>
  <c r="O53" i="39"/>
  <c r="O57" i="41" s="1"/>
  <c r="Q50" i="39"/>
  <c r="Q54" i="41" s="1"/>
  <c r="L50" i="41"/>
  <c r="J48" i="41"/>
  <c r="O39" i="39"/>
  <c r="O43" i="41" s="1"/>
  <c r="J80" i="41"/>
  <c r="J75" i="41"/>
  <c r="J69" i="41"/>
  <c r="J63" i="41"/>
  <c r="K57" i="41"/>
  <c r="O50" i="39"/>
  <c r="O54" i="41" s="1"/>
  <c r="K50" i="41"/>
  <c r="Q43" i="39"/>
  <c r="Q47" i="41" s="1"/>
  <c r="O32" i="39"/>
  <c r="O36" i="41" s="1"/>
  <c r="K30" i="41"/>
  <c r="Q23" i="39"/>
  <c r="Q25" i="41" s="1"/>
  <c r="L21" i="41"/>
  <c r="O80" i="39"/>
  <c r="O84" i="41" s="1"/>
  <c r="O75" i="39"/>
  <c r="O79" i="41" s="1"/>
  <c r="O70" i="39"/>
  <c r="O74" i="41" s="1"/>
  <c r="O64" i="39"/>
  <c r="O68" i="41" s="1"/>
  <c r="O58" i="39"/>
  <c r="O62" i="41" s="1"/>
  <c r="J57" i="41"/>
  <c r="L54" i="41"/>
  <c r="J50" i="41"/>
  <c r="O43" i="39"/>
  <c r="O47" i="41" s="1"/>
  <c r="Q34" i="39"/>
  <c r="Q38" i="41" s="1"/>
  <c r="L36" i="41"/>
  <c r="J30" i="41"/>
  <c r="O23" i="39"/>
  <c r="O25" i="41" s="1"/>
  <c r="K21" i="41"/>
  <c r="K84" i="41"/>
  <c r="K79" i="41"/>
  <c r="K74" i="41"/>
  <c r="K68" i="41"/>
  <c r="K62" i="41"/>
  <c r="Q52" i="39"/>
  <c r="Q56" i="41" s="1"/>
  <c r="K54" i="41"/>
  <c r="Q45" i="39"/>
  <c r="Q49" i="41" s="1"/>
  <c r="L47" i="41"/>
  <c r="O34" i="39"/>
  <c r="O38" i="41" s="1"/>
  <c r="K36" i="41"/>
  <c r="Q25" i="39"/>
  <c r="Q27" i="41" s="1"/>
  <c r="L25" i="41"/>
  <c r="J21" i="41"/>
  <c r="J84" i="41"/>
  <c r="J79" i="41"/>
  <c r="J74" i="41"/>
  <c r="J68" i="41"/>
  <c r="J62" i="41"/>
  <c r="O52" i="39"/>
  <c r="O56" i="41" s="1"/>
  <c r="J54" i="41"/>
  <c r="O45" i="39"/>
  <c r="O49" i="41" s="1"/>
  <c r="K47" i="41"/>
  <c r="Q38" i="39"/>
  <c r="Q42" i="41" s="1"/>
  <c r="O79" i="39"/>
  <c r="O83" i="41" s="1"/>
  <c r="O74" i="39"/>
  <c r="O78" i="41" s="1"/>
  <c r="O69" i="39"/>
  <c r="O73" i="41" s="1"/>
  <c r="O63" i="39"/>
  <c r="O67" i="41" s="1"/>
  <c r="O57" i="39"/>
  <c r="O61" i="41" s="1"/>
  <c r="K56" i="41"/>
  <c r="Q49" i="39"/>
  <c r="Q53" i="41" s="1"/>
  <c r="L49" i="41"/>
  <c r="J47" i="41"/>
  <c r="K83" i="41"/>
  <c r="K78" i="41"/>
  <c r="K73" i="41"/>
  <c r="K67" i="41"/>
  <c r="K61" i="41"/>
  <c r="J56" i="41"/>
  <c r="O49" i="39"/>
  <c r="O53" i="41" s="1"/>
  <c r="K49" i="41"/>
  <c r="Q42" i="39"/>
  <c r="Q46" i="41" s="1"/>
  <c r="J38" i="41"/>
  <c r="O29" i="39"/>
  <c r="O33" i="41" s="1"/>
  <c r="K27" i="41"/>
  <c r="Q20" i="39"/>
  <c r="Q22" i="41" s="1"/>
  <c r="L20" i="41"/>
  <c r="J83" i="41"/>
  <c r="J78" i="41"/>
  <c r="J73" i="41"/>
  <c r="J67" i="41"/>
  <c r="Q51" i="39"/>
  <c r="Q55" i="41" s="1"/>
  <c r="L53" i="41"/>
  <c r="J49" i="41"/>
  <c r="O42" i="39"/>
  <c r="O46" i="41" s="1"/>
  <c r="Q33" i="39"/>
  <c r="Q37" i="41" s="1"/>
  <c r="L33" i="41"/>
  <c r="J27" i="41"/>
  <c r="O20" i="39"/>
  <c r="O22" i="41" s="1"/>
  <c r="K20" i="41"/>
  <c r="O78" i="39"/>
  <c r="O82" i="41" s="1"/>
  <c r="O72" i="39"/>
  <c r="O76" i="41" s="1"/>
  <c r="O66" i="39"/>
  <c r="O70" i="41" s="1"/>
  <c r="O60" i="39"/>
  <c r="O64" i="41" s="1"/>
  <c r="O56" i="39"/>
  <c r="O60" i="41" s="1"/>
  <c r="O51" i="39"/>
  <c r="O55" i="41" s="1"/>
  <c r="K53" i="41"/>
  <c r="Q44" i="39"/>
  <c r="Q48" i="41" s="1"/>
  <c r="L46" i="41"/>
  <c r="O33" i="39"/>
  <c r="O37" i="41" s="1"/>
  <c r="Q24" i="39"/>
  <c r="Q26" i="41" s="1"/>
  <c r="L22" i="41"/>
  <c r="J20" i="41"/>
  <c r="O38" i="39"/>
  <c r="O42" i="41" s="1"/>
  <c r="K26" i="41"/>
  <c r="J26" i="41"/>
  <c r="Q18" i="39"/>
  <c r="Q20" i="41" s="1"/>
  <c r="L38" i="41"/>
  <c r="K25" i="41"/>
  <c r="K38" i="41"/>
  <c r="J25" i="41"/>
  <c r="S130" i="28"/>
  <c r="AA130" i="28" s="1"/>
  <c r="J37" i="41"/>
  <c r="Q19" i="39"/>
  <c r="Q21" i="41" s="1"/>
  <c r="Q32" i="39"/>
  <c r="Q36" i="41" s="1"/>
  <c r="O19" i="39"/>
  <c r="O21" i="41" s="1"/>
  <c r="J36" i="41"/>
  <c r="Q29" i="39"/>
  <c r="Q33" i="41" s="1"/>
  <c r="O18" i="39"/>
  <c r="O20" i="41" s="1"/>
  <c r="O27" i="39"/>
  <c r="O30" i="41" s="1"/>
  <c r="L30" i="41"/>
  <c r="O25" i="39"/>
  <c r="O27" i="41" s="1"/>
  <c r="L27" i="41"/>
  <c r="P99" i="40"/>
  <c r="P106" i="40" s="1"/>
  <c r="P113" i="40" s="1"/>
  <c r="O99" i="40"/>
  <c r="O106" i="40" s="1"/>
  <c r="O113" i="40" s="1"/>
  <c r="Q99" i="40"/>
  <c r="Q106" i="40" s="1"/>
  <c r="Q113" i="40" s="1"/>
  <c r="K99" i="40"/>
  <c r="K106" i="40" s="1"/>
  <c r="K113" i="40" s="1"/>
  <c r="N99" i="40"/>
  <c r="N106" i="40" s="1"/>
  <c r="N113" i="40" s="1"/>
  <c r="M99" i="40"/>
  <c r="M106" i="40" s="1"/>
  <c r="M113" i="40" s="1"/>
  <c r="L99" i="40"/>
  <c r="L106" i="40" s="1"/>
  <c r="L113" i="40" s="1"/>
  <c r="J89" i="41"/>
  <c r="I31" i="40"/>
  <c r="V62" i="40"/>
  <c r="J92" i="40"/>
  <c r="I84" i="40"/>
  <c r="I68" i="40"/>
  <c r="I55" i="40"/>
  <c r="I48" i="40"/>
  <c r="I22" i="40"/>
  <c r="J96" i="41" l="1"/>
  <c r="N96" i="41"/>
  <c r="N117" i="41" s="1"/>
  <c r="R45" i="28"/>
  <c r="J99" i="40"/>
  <c r="J106" i="40" l="1"/>
  <c r="T133" i="19"/>
  <c r="T126" i="19"/>
  <c r="T119" i="19"/>
  <c r="T110" i="19"/>
  <c r="T101" i="19"/>
  <c r="T90" i="19"/>
  <c r="T80" i="19"/>
  <c r="T70" i="19"/>
  <c r="T62" i="19"/>
  <c r="T54" i="19"/>
  <c r="T47" i="19"/>
  <c r="T41" i="19"/>
  <c r="T33" i="19"/>
  <c r="T25" i="19"/>
  <c r="T18" i="19"/>
  <c r="T11" i="19"/>
  <c r="Q133" i="19"/>
  <c r="Q126" i="19"/>
  <c r="Q119" i="19"/>
  <c r="Q110" i="19"/>
  <c r="Q101" i="19"/>
  <c r="Q80" i="19"/>
  <c r="Q70" i="19"/>
  <c r="Q62" i="19"/>
  <c r="Q54" i="19"/>
  <c r="Q47" i="19"/>
  <c r="Q41" i="19"/>
  <c r="Q33" i="19"/>
  <c r="Q25" i="19"/>
  <c r="Q18" i="19"/>
  <c r="Q11" i="19"/>
  <c r="N133" i="19"/>
  <c r="N126" i="19"/>
  <c r="N119" i="19"/>
  <c r="N110" i="19"/>
  <c r="N101" i="19"/>
  <c r="N90" i="19"/>
  <c r="N80" i="19"/>
  <c r="N70" i="19"/>
  <c r="N62" i="19"/>
  <c r="N54" i="19"/>
  <c r="N47" i="19"/>
  <c r="N41" i="19"/>
  <c r="N33" i="19"/>
  <c r="N25" i="19"/>
  <c r="N18" i="19"/>
  <c r="N11" i="19"/>
  <c r="U11" i="19"/>
  <c r="W133" i="19"/>
  <c r="W126" i="19"/>
  <c r="W119" i="19"/>
  <c r="W110" i="19"/>
  <c r="W101" i="19"/>
  <c r="W90" i="19"/>
  <c r="W80" i="19"/>
  <c r="W70" i="19"/>
  <c r="W62" i="19"/>
  <c r="W54" i="19"/>
  <c r="W47" i="19"/>
  <c r="W41" i="19"/>
  <c r="W33" i="19"/>
  <c r="W25" i="19"/>
  <c r="W18" i="19"/>
  <c r="W11" i="19"/>
  <c r="X11" i="19"/>
  <c r="X18" i="19" s="1"/>
  <c r="X25" i="19" s="1"/>
  <c r="X33" i="19" s="1"/>
  <c r="X41" i="19" s="1"/>
  <c r="X47" i="19" s="1"/>
  <c r="X54" i="19" s="1"/>
  <c r="X62" i="19" s="1"/>
  <c r="X70" i="19" s="1"/>
  <c r="X80" i="19" s="1"/>
  <c r="X90" i="19" s="1"/>
  <c r="X101" i="19" s="1"/>
  <c r="X110" i="19" s="1"/>
  <c r="X119" i="19" s="1"/>
  <c r="X126" i="19" s="1"/>
  <c r="X133" i="19" s="1"/>
  <c r="J113" i="40" l="1"/>
  <c r="K85" i="33"/>
  <c r="K89" i="41" s="1"/>
  <c r="L85" i="33"/>
  <c r="L89" i="41" s="1"/>
  <c r="M85" i="33"/>
  <c r="M89" i="41" s="1"/>
  <c r="N85" i="33"/>
  <c r="N85" i="39" s="1"/>
  <c r="N89" i="41" s="1"/>
  <c r="O85" i="33"/>
  <c r="O85" i="39" s="1"/>
  <c r="O89" i="41" s="1"/>
  <c r="P85" i="33"/>
  <c r="P85" i="39" s="1"/>
  <c r="P89" i="41" s="1"/>
  <c r="Q85" i="33"/>
  <c r="Q85" i="39" s="1"/>
  <c r="Q89" i="41" s="1"/>
  <c r="R85" i="33"/>
  <c r="R85" i="39" s="1"/>
  <c r="R89" i="41" s="1"/>
  <c r="S85" i="33"/>
  <c r="S85" i="39" s="1"/>
  <c r="S89" i="41" s="1"/>
  <c r="T85" i="33"/>
  <c r="T85" i="39" s="1"/>
  <c r="T89" i="41" s="1"/>
  <c r="U85" i="33"/>
  <c r="V89" i="41" l="1"/>
  <c r="J117" i="41"/>
  <c r="U85" i="39"/>
  <c r="U89" i="41" s="1"/>
  <c r="W89" i="41" s="1"/>
  <c r="V85" i="33"/>
  <c r="W85" i="33"/>
  <c r="D12" i="30"/>
  <c r="I89" i="41" l="1"/>
  <c r="C23" i="30" s="1"/>
  <c r="I85" i="39"/>
  <c r="AB130" i="28" s="1"/>
  <c r="AC130" i="28" s="1"/>
  <c r="T130" i="28"/>
  <c r="U130" i="28" s="1"/>
  <c r="Z1" i="38"/>
  <c r="W85" i="39" l="1"/>
  <c r="V85" i="39"/>
  <c r="U83" i="38"/>
  <c r="U91" i="38" s="1"/>
  <c r="T83" i="38"/>
  <c r="S83" i="38"/>
  <c r="R83" i="38"/>
  <c r="Q83" i="38"/>
  <c r="P83" i="38"/>
  <c r="P91" i="38" s="1"/>
  <c r="O83" i="38"/>
  <c r="O91" i="38" s="1"/>
  <c r="N83" i="38"/>
  <c r="N91" i="38" s="1"/>
  <c r="M83" i="38"/>
  <c r="M91" i="38" s="1"/>
  <c r="L83" i="38"/>
  <c r="K83" i="38"/>
  <c r="J83" i="38"/>
  <c r="U82" i="38"/>
  <c r="T82" i="38"/>
  <c r="S82" i="38"/>
  <c r="R82" i="38"/>
  <c r="Q82" i="38"/>
  <c r="P82" i="38"/>
  <c r="O82" i="38"/>
  <c r="N82" i="38"/>
  <c r="M82" i="38"/>
  <c r="L82" i="38"/>
  <c r="K82" i="38"/>
  <c r="J82" i="38"/>
  <c r="U80" i="38"/>
  <c r="T80" i="38"/>
  <c r="S80" i="38"/>
  <c r="R80" i="38"/>
  <c r="Q80" i="38"/>
  <c r="P80" i="38"/>
  <c r="O80" i="38"/>
  <c r="N80" i="38"/>
  <c r="M80" i="38"/>
  <c r="L80" i="38"/>
  <c r="K80" i="38"/>
  <c r="J80" i="38"/>
  <c r="U79" i="38"/>
  <c r="T79" i="38"/>
  <c r="S79" i="38"/>
  <c r="R79" i="38"/>
  <c r="Q79" i="38"/>
  <c r="P79" i="38"/>
  <c r="O79" i="38"/>
  <c r="N79" i="38"/>
  <c r="M79" i="38"/>
  <c r="L79" i="38"/>
  <c r="K79" i="38"/>
  <c r="J79" i="38"/>
  <c r="U78" i="38"/>
  <c r="T78" i="38"/>
  <c r="S78" i="38"/>
  <c r="R78" i="38"/>
  <c r="Q78" i="38"/>
  <c r="P78" i="38"/>
  <c r="O78" i="38"/>
  <c r="N78" i="38"/>
  <c r="M78" i="38"/>
  <c r="L78" i="38"/>
  <c r="K78" i="38"/>
  <c r="J78" i="38"/>
  <c r="U76" i="38"/>
  <c r="T76" i="38"/>
  <c r="S76" i="38"/>
  <c r="R76" i="38"/>
  <c r="Q76" i="38"/>
  <c r="P76" i="38"/>
  <c r="O76" i="38"/>
  <c r="N76" i="38"/>
  <c r="M76" i="38"/>
  <c r="L76" i="38"/>
  <c r="K76" i="38"/>
  <c r="J76" i="38"/>
  <c r="U75" i="38"/>
  <c r="T75" i="38"/>
  <c r="S75" i="38"/>
  <c r="R75" i="38"/>
  <c r="Q75" i="38"/>
  <c r="P75" i="38"/>
  <c r="O75" i="38"/>
  <c r="N75" i="38"/>
  <c r="M75" i="38"/>
  <c r="L75" i="38"/>
  <c r="K75" i="38"/>
  <c r="J75" i="38"/>
  <c r="U74" i="38"/>
  <c r="T74" i="38"/>
  <c r="S74" i="38"/>
  <c r="R74" i="38"/>
  <c r="Q74" i="38"/>
  <c r="P74" i="38"/>
  <c r="O74" i="38"/>
  <c r="N74" i="38"/>
  <c r="M74" i="38"/>
  <c r="L74" i="38"/>
  <c r="K74" i="38"/>
  <c r="J74" i="38"/>
  <c r="U72" i="38"/>
  <c r="T72" i="38"/>
  <c r="S72" i="38"/>
  <c r="R72" i="38"/>
  <c r="Q72" i="38"/>
  <c r="P72" i="38"/>
  <c r="O72" i="38"/>
  <c r="N72" i="38"/>
  <c r="M72" i="38"/>
  <c r="L72" i="38"/>
  <c r="K72" i="38"/>
  <c r="J72" i="38"/>
  <c r="U71" i="38"/>
  <c r="T71" i="38"/>
  <c r="S71" i="38"/>
  <c r="R71" i="38"/>
  <c r="Q71" i="38"/>
  <c r="P71" i="38"/>
  <c r="O71" i="38"/>
  <c r="N71" i="38"/>
  <c r="M71" i="38"/>
  <c r="L71" i="38"/>
  <c r="K71" i="38"/>
  <c r="J71" i="38"/>
  <c r="U70" i="38"/>
  <c r="T70" i="38"/>
  <c r="S70" i="38"/>
  <c r="R70" i="38"/>
  <c r="Q70" i="38"/>
  <c r="P70" i="38"/>
  <c r="O70" i="38"/>
  <c r="N70" i="38"/>
  <c r="M70" i="38"/>
  <c r="L70" i="38"/>
  <c r="K70" i="38"/>
  <c r="J70" i="38"/>
  <c r="U69" i="38"/>
  <c r="T69" i="38"/>
  <c r="S69" i="38"/>
  <c r="R69" i="38"/>
  <c r="Q69" i="38"/>
  <c r="P69" i="38"/>
  <c r="O69" i="38"/>
  <c r="N69" i="38"/>
  <c r="M69" i="38"/>
  <c r="L69" i="38"/>
  <c r="K69" i="38"/>
  <c r="J69" i="38"/>
  <c r="U66" i="38"/>
  <c r="T66" i="38"/>
  <c r="S66" i="38"/>
  <c r="R66" i="38"/>
  <c r="Q66" i="38"/>
  <c r="P66" i="38"/>
  <c r="O66" i="38"/>
  <c r="N66" i="38"/>
  <c r="M66" i="38"/>
  <c r="L66" i="38"/>
  <c r="K66" i="38"/>
  <c r="J66" i="38"/>
  <c r="U65" i="38"/>
  <c r="T65" i="38"/>
  <c r="S65" i="38"/>
  <c r="R65" i="38"/>
  <c r="Q65" i="38"/>
  <c r="P65" i="38"/>
  <c r="O65" i="38"/>
  <c r="N65" i="38"/>
  <c r="M65" i="38"/>
  <c r="L65" i="38"/>
  <c r="K65" i="38"/>
  <c r="J65" i="38"/>
  <c r="U64" i="38"/>
  <c r="T64" i="38"/>
  <c r="S64" i="38"/>
  <c r="R64" i="38"/>
  <c r="Q64" i="38"/>
  <c r="P64" i="38"/>
  <c r="O64" i="38"/>
  <c r="N64" i="38"/>
  <c r="M64" i="38"/>
  <c r="L64" i="38"/>
  <c r="K64" i="38"/>
  <c r="J64" i="38"/>
  <c r="U63" i="38"/>
  <c r="T63" i="38"/>
  <c r="S63" i="38"/>
  <c r="R63" i="38"/>
  <c r="Q63" i="38"/>
  <c r="P63" i="38"/>
  <c r="O63" i="38"/>
  <c r="N63" i="38"/>
  <c r="M63" i="38"/>
  <c r="L63" i="38"/>
  <c r="K63" i="38"/>
  <c r="J63" i="38"/>
  <c r="U60" i="38"/>
  <c r="T60" i="38"/>
  <c r="S60" i="38"/>
  <c r="R60" i="38"/>
  <c r="Q60" i="38"/>
  <c r="P60" i="38"/>
  <c r="O60" i="38"/>
  <c r="N60" i="38"/>
  <c r="M60" i="38"/>
  <c r="L60" i="38"/>
  <c r="K60" i="38"/>
  <c r="J60" i="38"/>
  <c r="U59" i="38"/>
  <c r="T59" i="38"/>
  <c r="S59" i="38"/>
  <c r="R59" i="38"/>
  <c r="Q59" i="38"/>
  <c r="P59" i="38"/>
  <c r="O59" i="38"/>
  <c r="N59" i="38"/>
  <c r="M59" i="38"/>
  <c r="L59" i="38"/>
  <c r="K59" i="38"/>
  <c r="J59" i="38"/>
  <c r="U58" i="38"/>
  <c r="T58" i="38"/>
  <c r="S58" i="38"/>
  <c r="R58" i="38"/>
  <c r="Q58" i="38"/>
  <c r="P58" i="38"/>
  <c r="O58" i="38"/>
  <c r="N58" i="38"/>
  <c r="M58" i="38"/>
  <c r="L58" i="38"/>
  <c r="K58" i="38"/>
  <c r="J58" i="38"/>
  <c r="U57" i="38"/>
  <c r="T57" i="38"/>
  <c r="S57" i="38"/>
  <c r="R57" i="38"/>
  <c r="Q57" i="38"/>
  <c r="P57" i="38"/>
  <c r="O57" i="38"/>
  <c r="N57" i="38"/>
  <c r="M57" i="38"/>
  <c r="L57" i="38"/>
  <c r="K57" i="38"/>
  <c r="J57" i="38"/>
  <c r="U56" i="38"/>
  <c r="T56" i="38"/>
  <c r="S56" i="38"/>
  <c r="R56" i="38"/>
  <c r="Q56" i="38"/>
  <c r="P56" i="38"/>
  <c r="O56" i="38"/>
  <c r="N56" i="38"/>
  <c r="M56" i="38"/>
  <c r="L56" i="38"/>
  <c r="K56" i="38"/>
  <c r="J56" i="38"/>
  <c r="U53" i="38"/>
  <c r="T53" i="38"/>
  <c r="S53" i="38"/>
  <c r="R53" i="38"/>
  <c r="Q53" i="38"/>
  <c r="P53" i="38"/>
  <c r="O53" i="38"/>
  <c r="N53" i="38"/>
  <c r="M53" i="38"/>
  <c r="L53" i="38"/>
  <c r="K53" i="38"/>
  <c r="J53" i="38"/>
  <c r="U52" i="38"/>
  <c r="T52" i="38"/>
  <c r="S52" i="38"/>
  <c r="R52" i="38"/>
  <c r="Q52" i="38"/>
  <c r="P52" i="38"/>
  <c r="O52" i="38"/>
  <c r="N52" i="38"/>
  <c r="M52" i="38"/>
  <c r="L52" i="38"/>
  <c r="K52" i="38"/>
  <c r="J52" i="38"/>
  <c r="U51" i="38"/>
  <c r="T51" i="38"/>
  <c r="S51" i="38"/>
  <c r="R51" i="38"/>
  <c r="Q51" i="38"/>
  <c r="P51" i="38"/>
  <c r="O51" i="38"/>
  <c r="N51" i="38"/>
  <c r="M51" i="38"/>
  <c r="L51" i="38"/>
  <c r="K51" i="38"/>
  <c r="J51" i="38"/>
  <c r="U50" i="38"/>
  <c r="T50" i="38"/>
  <c r="S50" i="38"/>
  <c r="R50" i="38"/>
  <c r="Q50" i="38"/>
  <c r="P50" i="38"/>
  <c r="O50" i="38"/>
  <c r="N50" i="38"/>
  <c r="M50" i="38"/>
  <c r="L50" i="38"/>
  <c r="K50" i="38"/>
  <c r="J50" i="38"/>
  <c r="U49" i="38"/>
  <c r="T49" i="38"/>
  <c r="S49" i="38"/>
  <c r="R49" i="38"/>
  <c r="Q49" i="38"/>
  <c r="P49" i="38"/>
  <c r="O49" i="38"/>
  <c r="N49" i="38"/>
  <c r="M49" i="38"/>
  <c r="L49" i="38"/>
  <c r="K49" i="38"/>
  <c r="J49" i="38"/>
  <c r="U46" i="38"/>
  <c r="T46" i="38"/>
  <c r="S46" i="38"/>
  <c r="R46" i="38"/>
  <c r="Q46" i="38"/>
  <c r="P46" i="38"/>
  <c r="O46" i="38"/>
  <c r="N46" i="38"/>
  <c r="M46" i="38"/>
  <c r="L46" i="38"/>
  <c r="K46" i="38"/>
  <c r="J46" i="38"/>
  <c r="U45" i="38"/>
  <c r="T45" i="38"/>
  <c r="S45" i="38"/>
  <c r="R45" i="38"/>
  <c r="Q45" i="38"/>
  <c r="P45" i="38"/>
  <c r="O45" i="38"/>
  <c r="N45" i="38"/>
  <c r="M45" i="38"/>
  <c r="L45" i="38"/>
  <c r="K45" i="38"/>
  <c r="J45" i="38"/>
  <c r="U44" i="38"/>
  <c r="T44" i="38"/>
  <c r="S44" i="38"/>
  <c r="R44" i="38"/>
  <c r="Q44" i="38"/>
  <c r="P44" i="38"/>
  <c r="O44" i="38"/>
  <c r="N44" i="38"/>
  <c r="M44" i="38"/>
  <c r="L44" i="38"/>
  <c r="K44" i="38"/>
  <c r="J44" i="38"/>
  <c r="U43" i="38"/>
  <c r="T43" i="38"/>
  <c r="S43" i="38"/>
  <c r="R43" i="38"/>
  <c r="Q43" i="38"/>
  <c r="P43" i="38"/>
  <c r="O43" i="38"/>
  <c r="N43" i="38"/>
  <c r="M43" i="38"/>
  <c r="L43" i="38"/>
  <c r="K43" i="38"/>
  <c r="J43" i="38"/>
  <c r="U42" i="38"/>
  <c r="T42" i="38"/>
  <c r="S42" i="38"/>
  <c r="R42" i="38"/>
  <c r="Q42" i="38"/>
  <c r="P42" i="38"/>
  <c r="O42" i="38"/>
  <c r="N42" i="38"/>
  <c r="M42" i="38"/>
  <c r="L42" i="38"/>
  <c r="K42" i="38"/>
  <c r="J42" i="38"/>
  <c r="U39" i="38"/>
  <c r="T39" i="38"/>
  <c r="S39" i="38"/>
  <c r="R39" i="38"/>
  <c r="Q39" i="38"/>
  <c r="P39" i="38"/>
  <c r="O39" i="38"/>
  <c r="N39" i="38"/>
  <c r="M39" i="38"/>
  <c r="L39" i="38"/>
  <c r="K39" i="38"/>
  <c r="J39" i="38"/>
  <c r="U38" i="38"/>
  <c r="T38" i="38"/>
  <c r="S38" i="38"/>
  <c r="R38" i="38"/>
  <c r="Q38" i="38"/>
  <c r="P38" i="38"/>
  <c r="O38" i="38"/>
  <c r="N38" i="38"/>
  <c r="M38" i="38"/>
  <c r="L38" i="38"/>
  <c r="K38" i="38"/>
  <c r="J38" i="38"/>
  <c r="U37" i="38"/>
  <c r="T37" i="38"/>
  <c r="S37" i="38"/>
  <c r="R37" i="38"/>
  <c r="Q37" i="38"/>
  <c r="P37" i="38"/>
  <c r="O37" i="38"/>
  <c r="N37" i="38"/>
  <c r="M37" i="38"/>
  <c r="L37" i="38"/>
  <c r="K37" i="38"/>
  <c r="J37" i="38"/>
  <c r="U34" i="38"/>
  <c r="T34" i="38"/>
  <c r="S34" i="38"/>
  <c r="R34" i="38"/>
  <c r="Q34" i="38"/>
  <c r="P34" i="38"/>
  <c r="O34" i="38"/>
  <c r="N34" i="38"/>
  <c r="M34" i="38"/>
  <c r="L34" i="38"/>
  <c r="K34" i="38"/>
  <c r="J34" i="38"/>
  <c r="U33" i="38"/>
  <c r="T33" i="38"/>
  <c r="S33" i="38"/>
  <c r="R33" i="38"/>
  <c r="Q33" i="38"/>
  <c r="P33" i="38"/>
  <c r="O33" i="38"/>
  <c r="N33" i="38"/>
  <c r="M33" i="38"/>
  <c r="L33" i="38"/>
  <c r="K33" i="38"/>
  <c r="J33" i="38"/>
  <c r="U32" i="38"/>
  <c r="T32" i="38"/>
  <c r="S32" i="38"/>
  <c r="R32" i="38"/>
  <c r="Q32" i="38"/>
  <c r="P32" i="38"/>
  <c r="O32" i="38"/>
  <c r="N32" i="38"/>
  <c r="M32" i="38"/>
  <c r="L32" i="38"/>
  <c r="K32" i="38"/>
  <c r="J32" i="38"/>
  <c r="U29" i="38"/>
  <c r="T29" i="38"/>
  <c r="S29" i="38"/>
  <c r="R29" i="38"/>
  <c r="Q29" i="38"/>
  <c r="P29" i="38"/>
  <c r="O29" i="38"/>
  <c r="N29" i="38"/>
  <c r="M29" i="38"/>
  <c r="L29" i="38"/>
  <c r="K29" i="38"/>
  <c r="J29" i="38"/>
  <c r="U27" i="38"/>
  <c r="T27" i="38"/>
  <c r="S27" i="38"/>
  <c r="R27" i="38"/>
  <c r="Q27" i="38"/>
  <c r="P27" i="38"/>
  <c r="O27" i="38"/>
  <c r="N27" i="38"/>
  <c r="M27" i="38"/>
  <c r="L27" i="38"/>
  <c r="K27" i="38"/>
  <c r="J27" i="38"/>
  <c r="U25" i="38"/>
  <c r="T25" i="38"/>
  <c r="S25" i="38"/>
  <c r="R25" i="38"/>
  <c r="Q25" i="38"/>
  <c r="P25" i="38"/>
  <c r="O25" i="38"/>
  <c r="N25" i="38"/>
  <c r="M25" i="38"/>
  <c r="L25" i="38"/>
  <c r="K25" i="38"/>
  <c r="J25" i="38"/>
  <c r="U24" i="38"/>
  <c r="T24" i="38"/>
  <c r="S24" i="38"/>
  <c r="R24" i="38"/>
  <c r="Q24" i="38"/>
  <c r="P24" i="38"/>
  <c r="O24" i="38"/>
  <c r="N24" i="38"/>
  <c r="M24" i="38"/>
  <c r="L24" i="38"/>
  <c r="K24" i="38"/>
  <c r="J24" i="38"/>
  <c r="U23" i="38"/>
  <c r="T23" i="38"/>
  <c r="S23" i="38"/>
  <c r="R23" i="38"/>
  <c r="Q23" i="38"/>
  <c r="P23" i="38"/>
  <c r="O23" i="38"/>
  <c r="N23" i="38"/>
  <c r="M23" i="38"/>
  <c r="L23" i="38"/>
  <c r="K23" i="38"/>
  <c r="J23" i="38"/>
  <c r="U20" i="38"/>
  <c r="T20" i="38"/>
  <c r="S20" i="38"/>
  <c r="R20" i="38"/>
  <c r="Q20" i="38"/>
  <c r="P20" i="38"/>
  <c r="O20" i="38"/>
  <c r="N20" i="38"/>
  <c r="M20" i="38"/>
  <c r="L20" i="38"/>
  <c r="K20" i="38"/>
  <c r="J20" i="38"/>
  <c r="U19" i="38"/>
  <c r="T19" i="38"/>
  <c r="S19" i="38"/>
  <c r="R19" i="38"/>
  <c r="Q19" i="38"/>
  <c r="P19" i="38"/>
  <c r="O19" i="38"/>
  <c r="N19" i="38"/>
  <c r="M19" i="38"/>
  <c r="L19" i="38"/>
  <c r="K19" i="38"/>
  <c r="J19" i="38"/>
  <c r="U18" i="38"/>
  <c r="T18" i="38"/>
  <c r="S18" i="38"/>
  <c r="R18" i="38"/>
  <c r="Q18" i="38"/>
  <c r="P18" i="38"/>
  <c r="O18" i="38"/>
  <c r="N18" i="38"/>
  <c r="M18" i="38"/>
  <c r="L18" i="38"/>
  <c r="K18" i="38"/>
  <c r="J18" i="38"/>
  <c r="U15" i="38"/>
  <c r="T15" i="38"/>
  <c r="S15" i="38"/>
  <c r="R15" i="38"/>
  <c r="Q15" i="38"/>
  <c r="Q15" i="40" s="1"/>
  <c r="P15" i="38"/>
  <c r="P15" i="40" s="1"/>
  <c r="O15" i="38"/>
  <c r="O15" i="40" s="1"/>
  <c r="N15" i="38"/>
  <c r="N15" i="40" s="1"/>
  <c r="M15" i="38"/>
  <c r="M15" i="40" s="1"/>
  <c r="L15" i="38"/>
  <c r="L15" i="40" s="1"/>
  <c r="K15" i="38"/>
  <c r="K15" i="40" s="1"/>
  <c r="J15" i="38"/>
  <c r="J15" i="40" s="1"/>
  <c r="U14" i="38"/>
  <c r="T14" i="38"/>
  <c r="S14" i="38"/>
  <c r="R14" i="38"/>
  <c r="Q14" i="38"/>
  <c r="Q14" i="40" s="1"/>
  <c r="P14" i="38"/>
  <c r="P14" i="40" s="1"/>
  <c r="O14" i="38"/>
  <c r="O14" i="40" s="1"/>
  <c r="N14" i="38"/>
  <c r="N14" i="40" s="1"/>
  <c r="M14" i="38"/>
  <c r="M14" i="40" s="1"/>
  <c r="L14" i="38"/>
  <c r="L14" i="40" s="1"/>
  <c r="K14" i="38"/>
  <c r="K14" i="40" s="1"/>
  <c r="J14" i="38"/>
  <c r="J14" i="40" s="1"/>
  <c r="U12" i="38"/>
  <c r="T12" i="38"/>
  <c r="S12" i="38"/>
  <c r="R12" i="38"/>
  <c r="Q12" i="38"/>
  <c r="Q12" i="40" s="1"/>
  <c r="P12" i="38"/>
  <c r="P12" i="40" s="1"/>
  <c r="O12" i="38"/>
  <c r="O12" i="40" s="1"/>
  <c r="N12" i="38"/>
  <c r="N12" i="40" s="1"/>
  <c r="M12" i="38"/>
  <c r="M12" i="40" s="1"/>
  <c r="L12" i="38"/>
  <c r="L12" i="40" s="1"/>
  <c r="K12" i="38"/>
  <c r="K12" i="40" s="1"/>
  <c r="J12" i="38"/>
  <c r="J12" i="40" s="1"/>
  <c r="U11" i="38"/>
  <c r="T11" i="38"/>
  <c r="S11" i="38"/>
  <c r="R11" i="38"/>
  <c r="Q11" i="38"/>
  <c r="Q11" i="40" s="1"/>
  <c r="P11" i="38"/>
  <c r="P11" i="40" s="1"/>
  <c r="O11" i="38"/>
  <c r="O11" i="40" s="1"/>
  <c r="N11" i="38"/>
  <c r="N11" i="40" s="1"/>
  <c r="M11" i="38"/>
  <c r="M11" i="40" s="1"/>
  <c r="L11" i="38"/>
  <c r="L11" i="40" s="1"/>
  <c r="K11" i="38"/>
  <c r="K11" i="40" s="1"/>
  <c r="J11" i="38"/>
  <c r="J11" i="40" s="1"/>
  <c r="U9" i="38"/>
  <c r="T9" i="38"/>
  <c r="S9" i="38"/>
  <c r="R9" i="38"/>
  <c r="Q9" i="38"/>
  <c r="Q9" i="40" s="1"/>
  <c r="P9" i="38"/>
  <c r="P9" i="40" s="1"/>
  <c r="O9" i="38"/>
  <c r="O9" i="40" s="1"/>
  <c r="N9" i="38"/>
  <c r="N9" i="40" s="1"/>
  <c r="M9" i="38"/>
  <c r="M9" i="40" s="1"/>
  <c r="L9" i="38"/>
  <c r="L9" i="40" s="1"/>
  <c r="K9" i="38"/>
  <c r="K9" i="40" s="1"/>
  <c r="J9" i="38"/>
  <c r="J9" i="40" s="1"/>
  <c r="U8" i="38"/>
  <c r="T8" i="38"/>
  <c r="S8" i="38"/>
  <c r="R8" i="38"/>
  <c r="Q8" i="38"/>
  <c r="Q8" i="40" s="1"/>
  <c r="P8" i="38"/>
  <c r="P8" i="40" s="1"/>
  <c r="O8" i="38"/>
  <c r="O8" i="40" s="1"/>
  <c r="N8" i="38"/>
  <c r="N8" i="40" s="1"/>
  <c r="M8" i="38"/>
  <c r="M8" i="40" s="1"/>
  <c r="L8" i="38"/>
  <c r="L8" i="40" s="1"/>
  <c r="K8" i="38"/>
  <c r="K8" i="40" s="1"/>
  <c r="J8" i="38"/>
  <c r="J8" i="40" s="1"/>
  <c r="J5" i="38"/>
  <c r="J5" i="40" s="1"/>
  <c r="J5" i="39" s="1"/>
  <c r="K5" i="38"/>
  <c r="K5" i="40" s="1"/>
  <c r="K5" i="39" s="1"/>
  <c r="L5" i="38"/>
  <c r="L5" i="40" s="1"/>
  <c r="L5" i="39" s="1"/>
  <c r="M5" i="38"/>
  <c r="M5" i="40" s="1"/>
  <c r="M5" i="39" s="1"/>
  <c r="N5" i="38"/>
  <c r="N5" i="40" s="1"/>
  <c r="N5" i="39" s="1"/>
  <c r="O5" i="38"/>
  <c r="O5" i="40" s="1"/>
  <c r="O5" i="39" s="1"/>
  <c r="P5" i="38"/>
  <c r="P5" i="40" s="1"/>
  <c r="P5" i="39" s="1"/>
  <c r="Q5" i="38"/>
  <c r="Q5" i="40" s="1"/>
  <c r="Q5" i="39" s="1"/>
  <c r="R5" i="38"/>
  <c r="S5" i="38"/>
  <c r="T5" i="38"/>
  <c r="U5" i="38"/>
  <c r="K4" i="38"/>
  <c r="K4" i="40" s="1"/>
  <c r="K4" i="39" s="1"/>
  <c r="L4" i="38"/>
  <c r="L4" i="40" s="1"/>
  <c r="L4" i="39" s="1"/>
  <c r="M4" i="38"/>
  <c r="M4" i="40" s="1"/>
  <c r="M4" i="39" s="1"/>
  <c r="N4" i="38"/>
  <c r="N4" i="40" s="1"/>
  <c r="N4" i="39" s="1"/>
  <c r="O4" i="38"/>
  <c r="O4" i="40" s="1"/>
  <c r="O4" i="39" s="1"/>
  <c r="P4" i="38"/>
  <c r="P4" i="40" s="1"/>
  <c r="P4" i="39" s="1"/>
  <c r="Q4" i="38"/>
  <c r="Q4" i="40" s="1"/>
  <c r="Q4" i="39" s="1"/>
  <c r="R4" i="38"/>
  <c r="S4" i="38"/>
  <c r="T4" i="38"/>
  <c r="U4" i="38"/>
  <c r="J4" i="38"/>
  <c r="J4" i="40" s="1"/>
  <c r="J4" i="39" s="1"/>
  <c r="W68" i="38"/>
  <c r="V68" i="38"/>
  <c r="I68" i="38"/>
  <c r="W62" i="38"/>
  <c r="V62" i="38"/>
  <c r="I62" i="38"/>
  <c r="X56" i="38"/>
  <c r="W55" i="38"/>
  <c r="V55" i="38"/>
  <c r="I55" i="38"/>
  <c r="W48" i="38"/>
  <c r="V48" i="38"/>
  <c r="I48" i="38"/>
  <c r="W41" i="38"/>
  <c r="V41" i="38"/>
  <c r="I41" i="38"/>
  <c r="W36" i="38"/>
  <c r="V36" i="38"/>
  <c r="I36" i="38"/>
  <c r="W31" i="38"/>
  <c r="V31" i="38"/>
  <c r="I31" i="38"/>
  <c r="W22" i="38"/>
  <c r="V22" i="38"/>
  <c r="I22" i="38"/>
  <c r="W17" i="38"/>
  <c r="V17" i="38"/>
  <c r="I17" i="38"/>
  <c r="M8" i="39" l="1"/>
  <c r="M9" i="39"/>
  <c r="M11" i="39"/>
  <c r="M12" i="41" s="1"/>
  <c r="M15" i="39"/>
  <c r="M17" i="41" s="1"/>
  <c r="N8" i="39"/>
  <c r="P5" i="41"/>
  <c r="O9" i="39"/>
  <c r="O12" i="39"/>
  <c r="O13" i="41" s="1"/>
  <c r="O15" i="39"/>
  <c r="O17" i="41" s="1"/>
  <c r="P8" i="39"/>
  <c r="P11" i="39"/>
  <c r="P12" i="41" s="1"/>
  <c r="N5" i="41"/>
  <c r="Q9" i="39"/>
  <c r="Q15" i="39"/>
  <c r="Q17" i="41" s="1"/>
  <c r="K5" i="41"/>
  <c r="M12" i="39"/>
  <c r="M13" i="41" s="1"/>
  <c r="Q5" i="41"/>
  <c r="N9" i="39"/>
  <c r="N11" i="39"/>
  <c r="N12" i="41" s="1"/>
  <c r="N12" i="39"/>
  <c r="N13" i="41" s="1"/>
  <c r="N15" i="39"/>
  <c r="N17" i="41" s="1"/>
  <c r="O8" i="39"/>
  <c r="O11" i="39"/>
  <c r="O12" i="41" s="1"/>
  <c r="O5" i="41"/>
  <c r="P9" i="39"/>
  <c r="P12" i="39"/>
  <c r="P13" i="41" s="1"/>
  <c r="P15" i="39"/>
  <c r="P17" i="41" s="1"/>
  <c r="Q8" i="39"/>
  <c r="Q11" i="39"/>
  <c r="Q12" i="41" s="1"/>
  <c r="Q12" i="39"/>
  <c r="Q13" i="41" s="1"/>
  <c r="M5" i="41"/>
  <c r="K8" i="39"/>
  <c r="K9" i="39"/>
  <c r="K11" i="39"/>
  <c r="K12" i="41" s="1"/>
  <c r="K12" i="39"/>
  <c r="K13" i="41" s="1"/>
  <c r="K15" i="39"/>
  <c r="K17" i="41" s="1"/>
  <c r="Q90" i="40"/>
  <c r="Q97" i="40" s="1"/>
  <c r="Q104" i="40" s="1"/>
  <c r="Q111" i="40" s="1"/>
  <c r="Q14" i="39"/>
  <c r="Q16" i="41" s="1"/>
  <c r="M4" i="41"/>
  <c r="M89" i="40"/>
  <c r="M96" i="40" s="1"/>
  <c r="M103" i="40" s="1"/>
  <c r="M110" i="40" s="1"/>
  <c r="L5" i="41"/>
  <c r="L4" i="41"/>
  <c r="L89" i="40"/>
  <c r="L96" i="40" s="1"/>
  <c r="L103" i="40" s="1"/>
  <c r="L110" i="40" s="1"/>
  <c r="K4" i="41"/>
  <c r="K89" i="40"/>
  <c r="K96" i="40" s="1"/>
  <c r="K103" i="40" s="1"/>
  <c r="K110" i="40" s="1"/>
  <c r="N4" i="41"/>
  <c r="N89" i="40"/>
  <c r="N96" i="40" s="1"/>
  <c r="N103" i="40" s="1"/>
  <c r="N110" i="40" s="1"/>
  <c r="J5" i="41"/>
  <c r="J89" i="40"/>
  <c r="J4" i="41"/>
  <c r="J8" i="39"/>
  <c r="J9" i="39"/>
  <c r="J11" i="39"/>
  <c r="J12" i="41" s="1"/>
  <c r="J12" i="39"/>
  <c r="J13" i="41" s="1"/>
  <c r="J90" i="40"/>
  <c r="J14" i="39"/>
  <c r="J16" i="41" s="1"/>
  <c r="J15" i="39"/>
  <c r="J17" i="41" s="1"/>
  <c r="L12" i="39"/>
  <c r="L13" i="41" s="1"/>
  <c r="L90" i="40"/>
  <c r="L97" i="40" s="1"/>
  <c r="L104" i="40" s="1"/>
  <c r="L111" i="40" s="1"/>
  <c r="L14" i="39"/>
  <c r="L16" i="41" s="1"/>
  <c r="L15" i="39"/>
  <c r="L17" i="41" s="1"/>
  <c r="O89" i="40"/>
  <c r="O96" i="40" s="1"/>
  <c r="O103" i="40" s="1"/>
  <c r="O110" i="40" s="1"/>
  <c r="O4" i="41"/>
  <c r="K90" i="40"/>
  <c r="K97" i="40" s="1"/>
  <c r="K104" i="40" s="1"/>
  <c r="K111" i="40" s="1"/>
  <c r="K14" i="39"/>
  <c r="K16" i="41" s="1"/>
  <c r="L11" i="39"/>
  <c r="L12" i="41" s="1"/>
  <c r="M14" i="39"/>
  <c r="M16" i="41" s="1"/>
  <c r="M90" i="40"/>
  <c r="M97" i="40" s="1"/>
  <c r="M104" i="40" s="1"/>
  <c r="M111" i="40" s="1"/>
  <c r="N90" i="40"/>
  <c r="N97" i="40" s="1"/>
  <c r="N104" i="40" s="1"/>
  <c r="N111" i="40" s="1"/>
  <c r="N14" i="39"/>
  <c r="N16" i="41" s="1"/>
  <c r="P89" i="40"/>
  <c r="P96" i="40" s="1"/>
  <c r="P103" i="40" s="1"/>
  <c r="P110" i="40" s="1"/>
  <c r="P4" i="41"/>
  <c r="L8" i="39"/>
  <c r="L9" i="39"/>
  <c r="Q89" i="40"/>
  <c r="Q96" i="40" s="1"/>
  <c r="Q103" i="40" s="1"/>
  <c r="Q110" i="40" s="1"/>
  <c r="Q4" i="41"/>
  <c r="O90" i="40"/>
  <c r="O97" i="40" s="1"/>
  <c r="O104" i="40" s="1"/>
  <c r="O111" i="40" s="1"/>
  <c r="O14" i="39"/>
  <c r="O16" i="41" s="1"/>
  <c r="P90" i="40"/>
  <c r="P97" i="40" s="1"/>
  <c r="P104" i="40" s="1"/>
  <c r="P111" i="40" s="1"/>
  <c r="P14" i="39"/>
  <c r="P16" i="41" s="1"/>
  <c r="S91" i="38"/>
  <c r="T91" i="38"/>
  <c r="R91" i="38"/>
  <c r="Q91" i="38"/>
  <c r="W57" i="38"/>
  <c r="W63" i="38"/>
  <c r="W25" i="38"/>
  <c r="J91" i="38"/>
  <c r="K91" i="38"/>
  <c r="V11" i="38"/>
  <c r="V34" i="38"/>
  <c r="V58" i="38"/>
  <c r="V66" i="38"/>
  <c r="W14" i="38"/>
  <c r="L89" i="38"/>
  <c r="W82" i="38"/>
  <c r="M89" i="38"/>
  <c r="W53" i="38"/>
  <c r="L91" i="38"/>
  <c r="V23" i="38"/>
  <c r="W15" i="38"/>
  <c r="W18" i="38"/>
  <c r="W20" i="38"/>
  <c r="W24" i="38"/>
  <c r="W33" i="38"/>
  <c r="W38" i="38"/>
  <c r="W56" i="38"/>
  <c r="W60" i="38"/>
  <c r="W65" i="38"/>
  <c r="W74" i="38"/>
  <c r="W75" i="38"/>
  <c r="W78" i="38"/>
  <c r="W79" i="38"/>
  <c r="I49" i="38"/>
  <c r="I58" i="38"/>
  <c r="I11" i="38"/>
  <c r="W12" i="38"/>
  <c r="I23" i="38"/>
  <c r="I25" i="38"/>
  <c r="I29" i="38"/>
  <c r="I28" i="38" s="1"/>
  <c r="I34" i="38"/>
  <c r="I39" i="38"/>
  <c r="W42" i="38"/>
  <c r="W43" i="38"/>
  <c r="I44" i="38"/>
  <c r="W46" i="38"/>
  <c r="I50" i="38"/>
  <c r="I51" i="38"/>
  <c r="W52" i="38"/>
  <c r="I57" i="38"/>
  <c r="I66" i="38"/>
  <c r="W69" i="38"/>
  <c r="W70" i="38"/>
  <c r="I71" i="38"/>
  <c r="W72" i="38"/>
  <c r="I75" i="38"/>
  <c r="I79" i="38"/>
  <c r="W27" i="38"/>
  <c r="W28" i="38" s="1"/>
  <c r="W37" i="38"/>
  <c r="V49" i="38"/>
  <c r="W58" i="38"/>
  <c r="W71" i="38"/>
  <c r="K89" i="38"/>
  <c r="K87" i="38"/>
  <c r="V29" i="38"/>
  <c r="V30" i="38" s="1"/>
  <c r="V39" i="38"/>
  <c r="W49" i="38"/>
  <c r="W59" i="38"/>
  <c r="I76" i="38"/>
  <c r="V12" i="38"/>
  <c r="I19" i="38"/>
  <c r="W29" i="38"/>
  <c r="W30" i="38" s="1"/>
  <c r="W39" i="38"/>
  <c r="W50" i="38"/>
  <c r="W76" i="38"/>
  <c r="V4" i="38"/>
  <c r="W19" i="38"/>
  <c r="I53" i="38"/>
  <c r="I80" i="38"/>
  <c r="V8" i="38"/>
  <c r="V9" i="38"/>
  <c r="I14" i="38"/>
  <c r="I15" i="38"/>
  <c r="V24" i="38"/>
  <c r="V25" i="38"/>
  <c r="I27" i="38"/>
  <c r="I26" i="38" s="1"/>
  <c r="V32" i="38"/>
  <c r="V33" i="38"/>
  <c r="V37" i="38"/>
  <c r="I38" i="38"/>
  <c r="I63" i="38"/>
  <c r="I64" i="38"/>
  <c r="I65" i="38"/>
  <c r="V74" i="38"/>
  <c r="V75" i="38"/>
  <c r="V76" i="38"/>
  <c r="V78" i="38"/>
  <c r="V79" i="38"/>
  <c r="V80" i="38"/>
  <c r="V82" i="38"/>
  <c r="W5" i="38"/>
  <c r="V53" i="38"/>
  <c r="W80" i="38"/>
  <c r="V18" i="38"/>
  <c r="V20" i="38"/>
  <c r="V42" i="38"/>
  <c r="V43" i="38"/>
  <c r="V44" i="38"/>
  <c r="I45" i="38"/>
  <c r="V46" i="38"/>
  <c r="V50" i="38"/>
  <c r="V51" i="38"/>
  <c r="V52" i="38"/>
  <c r="V56" i="38"/>
  <c r="V57" i="38"/>
  <c r="V59" i="38"/>
  <c r="V60" i="38"/>
  <c r="V69" i="38"/>
  <c r="I70" i="38"/>
  <c r="V71" i="38"/>
  <c r="I72" i="38"/>
  <c r="W32" i="38"/>
  <c r="W44" i="38"/>
  <c r="W64" i="38"/>
  <c r="W45" i="38"/>
  <c r="R88" i="38"/>
  <c r="I18" i="38"/>
  <c r="V19" i="38"/>
  <c r="I20" i="38"/>
  <c r="I24" i="38"/>
  <c r="W8" i="38"/>
  <c r="W23" i="38"/>
  <c r="W34" i="38"/>
  <c r="W66" i="38"/>
  <c r="S88" i="38"/>
  <c r="W9" i="38"/>
  <c r="I83" i="38"/>
  <c r="W83" i="38"/>
  <c r="V83" i="38"/>
  <c r="I82" i="38"/>
  <c r="I81" i="38" s="1"/>
  <c r="I78" i="38"/>
  <c r="I74" i="38"/>
  <c r="R89" i="38"/>
  <c r="V70" i="38"/>
  <c r="V72" i="38"/>
  <c r="I69" i="38"/>
  <c r="V63" i="38"/>
  <c r="V64" i="38"/>
  <c r="V65" i="38"/>
  <c r="I59" i="38"/>
  <c r="I60" i="38"/>
  <c r="I56" i="38"/>
  <c r="W51" i="38"/>
  <c r="I52" i="38"/>
  <c r="O89" i="38"/>
  <c r="V45" i="38"/>
  <c r="Q89" i="38"/>
  <c r="I43" i="38"/>
  <c r="I42" i="38"/>
  <c r="I46" i="38"/>
  <c r="I37" i="38"/>
  <c r="V38" i="38"/>
  <c r="I33" i="38"/>
  <c r="I32" i="38"/>
  <c r="P89" i="38"/>
  <c r="J87" i="38"/>
  <c r="V27" i="38"/>
  <c r="V28" i="38" s="1"/>
  <c r="J89" i="38"/>
  <c r="T89" i="38"/>
  <c r="U89" i="38"/>
  <c r="V14" i="38"/>
  <c r="V15" i="38"/>
  <c r="S89" i="38"/>
  <c r="W11" i="38"/>
  <c r="I12" i="38"/>
  <c r="K88" i="38"/>
  <c r="J88" i="38"/>
  <c r="O87" i="38"/>
  <c r="I9" i="38"/>
  <c r="R87" i="38"/>
  <c r="N89" i="38"/>
  <c r="S87" i="38"/>
  <c r="T87" i="38"/>
  <c r="I8" i="38"/>
  <c r="N87" i="38"/>
  <c r="V5" i="38"/>
  <c r="U88" i="38"/>
  <c r="Q88" i="38"/>
  <c r="I5" i="38"/>
  <c r="M87" i="38"/>
  <c r="L88" i="38"/>
  <c r="O88" i="38"/>
  <c r="P88" i="38"/>
  <c r="N88" i="38"/>
  <c r="U87" i="38"/>
  <c r="W4" i="38"/>
  <c r="M88" i="38"/>
  <c r="Q87" i="38"/>
  <c r="I4" i="38"/>
  <c r="L87" i="38"/>
  <c r="T88" i="38"/>
  <c r="P87" i="38"/>
  <c r="J89" i="39" l="1"/>
  <c r="O93" i="41"/>
  <c r="O100" i="41" s="1"/>
  <c r="O107" i="41" s="1"/>
  <c r="J93" i="41"/>
  <c r="J100" i="41" s="1"/>
  <c r="J107" i="41" s="1"/>
  <c r="Q93" i="41"/>
  <c r="Q100" i="41" s="1"/>
  <c r="Q107" i="41" s="1"/>
  <c r="M93" i="41"/>
  <c r="M100" i="41" s="1"/>
  <c r="M107" i="41" s="1"/>
  <c r="N93" i="41"/>
  <c r="N100" i="41" s="1"/>
  <c r="N107" i="41" s="1"/>
  <c r="P93" i="41"/>
  <c r="P100" i="41" s="1"/>
  <c r="P107" i="41" s="1"/>
  <c r="K93" i="41"/>
  <c r="K100" i="41" s="1"/>
  <c r="K107" i="41" s="1"/>
  <c r="L93" i="41"/>
  <c r="L100" i="41" s="1"/>
  <c r="L107" i="41" s="1"/>
  <c r="Q89" i="39"/>
  <c r="J96" i="40"/>
  <c r="J97" i="40"/>
  <c r="J96" i="39"/>
  <c r="V13" i="38"/>
  <c r="W67" i="38"/>
  <c r="W35" i="38"/>
  <c r="W21" i="38"/>
  <c r="V35" i="38"/>
  <c r="W16" i="38"/>
  <c r="W81" i="38"/>
  <c r="W77" i="38"/>
  <c r="V40" i="38"/>
  <c r="W40" i="38"/>
  <c r="W61" i="38"/>
  <c r="V61" i="38"/>
  <c r="I10" i="38"/>
  <c r="I35" i="38"/>
  <c r="X28" i="38"/>
  <c r="V91" i="38"/>
  <c r="W26" i="38"/>
  <c r="W47" i="38"/>
  <c r="V54" i="38"/>
  <c r="I30" i="38"/>
  <c r="V77" i="38"/>
  <c r="V26" i="38"/>
  <c r="I13" i="38"/>
  <c r="X30" i="38"/>
  <c r="I61" i="38"/>
  <c r="I16" i="38"/>
  <c r="W54" i="38"/>
  <c r="I67" i="38"/>
  <c r="I21" i="38"/>
  <c r="I73" i="38"/>
  <c r="V21" i="38"/>
  <c r="X8" i="38"/>
  <c r="I47" i="38"/>
  <c r="V81" i="38"/>
  <c r="X83" i="38"/>
  <c r="W73" i="38"/>
  <c r="V73" i="38"/>
  <c r="X9" i="38"/>
  <c r="W13" i="38"/>
  <c r="I54" i="38"/>
  <c r="V16" i="38"/>
  <c r="I77" i="38"/>
  <c r="V47" i="38"/>
  <c r="V67" i="38"/>
  <c r="I40" i="38"/>
  <c r="V87" i="38"/>
  <c r="V89" i="38"/>
  <c r="X4" i="38"/>
  <c r="V88" i="38"/>
  <c r="J104" i="40" l="1"/>
  <c r="J103" i="40"/>
  <c r="X73" i="38"/>
  <c r="X61" i="38"/>
  <c r="X17" i="38"/>
  <c r="X35" i="38"/>
  <c r="X67" i="38"/>
  <c r="X77" i="38"/>
  <c r="X40" i="38"/>
  <c r="X81" i="38"/>
  <c r="X26" i="38"/>
  <c r="X47" i="38"/>
  <c r="X54" i="38"/>
  <c r="X10" i="38"/>
  <c r="O114" i="41" l="1"/>
  <c r="P114" i="41"/>
  <c r="Q114" i="41"/>
  <c r="N114" i="41"/>
  <c r="J114" i="41"/>
  <c r="K114" i="41"/>
  <c r="L114" i="41"/>
  <c r="J111" i="40"/>
  <c r="J110" i="40"/>
  <c r="N68" i="33"/>
  <c r="N62" i="33"/>
  <c r="N55" i="33"/>
  <c r="N48" i="33"/>
  <c r="N41" i="33"/>
  <c r="N36" i="33"/>
  <c r="N31" i="33"/>
  <c r="N22" i="33"/>
  <c r="N17" i="33"/>
  <c r="M68" i="33"/>
  <c r="M62" i="33"/>
  <c r="M55" i="33"/>
  <c r="M48" i="33"/>
  <c r="M41" i="33"/>
  <c r="M36" i="33"/>
  <c r="M31" i="33"/>
  <c r="M22" i="33"/>
  <c r="M17" i="33"/>
  <c r="L68" i="33"/>
  <c r="L62" i="33"/>
  <c r="L55" i="33"/>
  <c r="L48" i="33"/>
  <c r="L41" i="33"/>
  <c r="L36" i="33"/>
  <c r="L31" i="33"/>
  <c r="L22" i="33"/>
  <c r="L17" i="33"/>
  <c r="K68" i="33"/>
  <c r="K62" i="33"/>
  <c r="K55" i="33"/>
  <c r="K48" i="33"/>
  <c r="K41" i="33"/>
  <c r="K36" i="33"/>
  <c r="K31" i="33"/>
  <c r="K22" i="33"/>
  <c r="K17" i="33"/>
  <c r="J68" i="33"/>
  <c r="J62" i="33"/>
  <c r="J55" i="33"/>
  <c r="J48" i="33"/>
  <c r="J41" i="33"/>
  <c r="J36" i="33"/>
  <c r="J31" i="33"/>
  <c r="J22" i="33"/>
  <c r="U68" i="33"/>
  <c r="U62" i="33"/>
  <c r="U55" i="33"/>
  <c r="U48" i="33"/>
  <c r="U41" i="33"/>
  <c r="U36" i="33"/>
  <c r="U31" i="33"/>
  <c r="U22" i="33"/>
  <c r="U17" i="33"/>
  <c r="T68" i="33"/>
  <c r="T62" i="33"/>
  <c r="T55" i="33"/>
  <c r="T48" i="33"/>
  <c r="T41" i="33"/>
  <c r="T36" i="33"/>
  <c r="T31" i="33"/>
  <c r="T22" i="33"/>
  <c r="T17" i="33"/>
  <c r="S68" i="33"/>
  <c r="S62" i="33"/>
  <c r="S55" i="33"/>
  <c r="S48" i="33"/>
  <c r="S41" i="33"/>
  <c r="S36" i="33"/>
  <c r="S31" i="33"/>
  <c r="S22" i="33"/>
  <c r="S17" i="33"/>
  <c r="R68" i="33"/>
  <c r="R62" i="33"/>
  <c r="R55" i="33"/>
  <c r="R48" i="33"/>
  <c r="R41" i="33"/>
  <c r="R36" i="33"/>
  <c r="R31" i="33"/>
  <c r="R22" i="33"/>
  <c r="R17" i="33"/>
  <c r="Q68" i="33"/>
  <c r="Q62" i="33"/>
  <c r="Q55" i="33"/>
  <c r="Q48" i="33"/>
  <c r="Q41" i="33"/>
  <c r="Q36" i="33"/>
  <c r="Q31" i="33"/>
  <c r="Q22" i="33"/>
  <c r="Q17" i="33"/>
  <c r="P41" i="33"/>
  <c r="O41" i="33"/>
  <c r="P36" i="33"/>
  <c r="O36" i="33"/>
  <c r="P68" i="33"/>
  <c r="P31" i="33"/>
  <c r="O68" i="33"/>
  <c r="O31" i="33"/>
  <c r="P62" i="33"/>
  <c r="P22" i="33"/>
  <c r="O62" i="33"/>
  <c r="O22" i="33"/>
  <c r="P55" i="33"/>
  <c r="P17" i="33"/>
  <c r="O55" i="33"/>
  <c r="O17" i="33"/>
  <c r="P48" i="33"/>
  <c r="O48" i="33"/>
  <c r="P15" i="33"/>
  <c r="P14" i="33"/>
  <c r="O12" i="33"/>
  <c r="M8" i="33"/>
  <c r="N12" i="33"/>
  <c r="O76" i="33"/>
  <c r="P19" i="33"/>
  <c r="P53" i="33"/>
  <c r="P70" i="33"/>
  <c r="P37" i="33"/>
  <c r="Q20" i="33"/>
  <c r="Q56" i="33"/>
  <c r="Q72" i="33"/>
  <c r="R29" i="33"/>
  <c r="R50" i="33"/>
  <c r="S18" i="33"/>
  <c r="S18" i="40" s="1"/>
  <c r="S38" i="33"/>
  <c r="S56" i="33"/>
  <c r="S72" i="33"/>
  <c r="Q34" i="33"/>
  <c r="T65" i="33"/>
  <c r="T82" i="33"/>
  <c r="U25" i="33"/>
  <c r="U49" i="33"/>
  <c r="U70" i="33"/>
  <c r="Q39" i="33"/>
  <c r="R59" i="33"/>
  <c r="T32" i="33"/>
  <c r="U12" i="33"/>
  <c r="U12" i="40" s="1"/>
  <c r="J27" i="33"/>
  <c r="J63" i="33"/>
  <c r="R15" i="33"/>
  <c r="R15" i="40" s="1"/>
  <c r="T8" i="33"/>
  <c r="T8" i="40" s="1"/>
  <c r="K15" i="33"/>
  <c r="K38" i="33"/>
  <c r="K57" i="33"/>
  <c r="K74" i="33"/>
  <c r="L39" i="33"/>
  <c r="L57" i="33"/>
  <c r="L74" i="33"/>
  <c r="M24" i="33"/>
  <c r="M44" i="33"/>
  <c r="M60" i="33"/>
  <c r="M78" i="33"/>
  <c r="N49" i="33"/>
  <c r="N70" i="33"/>
  <c r="J34" i="33"/>
  <c r="J70" i="33"/>
  <c r="K23" i="33"/>
  <c r="N33" i="33"/>
  <c r="N82" i="33"/>
  <c r="O20" i="33"/>
  <c r="O60" i="33"/>
  <c r="R20" i="33"/>
  <c r="R20" i="40" s="1"/>
  <c r="U24" i="33"/>
  <c r="N83" i="33"/>
  <c r="O42" i="33"/>
  <c r="R24" i="33"/>
  <c r="U33" i="33"/>
  <c r="J42" i="33"/>
  <c r="J72" i="33"/>
  <c r="U38" i="33"/>
  <c r="Q5" i="33"/>
  <c r="Q32" i="33"/>
  <c r="U69" i="33"/>
  <c r="U8" i="33"/>
  <c r="U8" i="40" s="1"/>
  <c r="J60" i="33"/>
  <c r="K14" i="33"/>
  <c r="K72" i="33"/>
  <c r="L56" i="33"/>
  <c r="M23" i="33"/>
  <c r="M76" i="33"/>
  <c r="N69" i="33"/>
  <c r="J29" i="33"/>
  <c r="P43" i="33"/>
  <c r="T4" i="33"/>
  <c r="T4" i="40" s="1"/>
  <c r="T4" i="39" s="1"/>
  <c r="O53" i="33"/>
  <c r="M9" i="33"/>
  <c r="O11" i="33"/>
  <c r="O78" i="33"/>
  <c r="P29" i="33"/>
  <c r="P56" i="33"/>
  <c r="P74" i="33"/>
  <c r="P44" i="33"/>
  <c r="Q38" i="33"/>
  <c r="Q57" i="33"/>
  <c r="Q74" i="33"/>
  <c r="R38" i="33"/>
  <c r="R63" i="33"/>
  <c r="S19" i="33"/>
  <c r="S19" i="40" s="1"/>
  <c r="S39" i="33"/>
  <c r="S57" i="33"/>
  <c r="S74" i="33"/>
  <c r="T33" i="33"/>
  <c r="T66" i="33"/>
  <c r="T83" i="33"/>
  <c r="U27" i="33"/>
  <c r="U50" i="33"/>
  <c r="U71" i="33"/>
  <c r="N4" i="33"/>
  <c r="R66" i="33"/>
  <c r="T37" i="33"/>
  <c r="U14" i="33"/>
  <c r="U14" i="40" s="1"/>
  <c r="J32" i="33"/>
  <c r="J64" i="33"/>
  <c r="R32" i="33"/>
  <c r="T11" i="33"/>
  <c r="T11" i="40" s="1"/>
  <c r="K18" i="33"/>
  <c r="K39" i="33"/>
  <c r="K58" i="33"/>
  <c r="K75" i="33"/>
  <c r="L42" i="33"/>
  <c r="L58" i="33"/>
  <c r="L75" i="33"/>
  <c r="M25" i="33"/>
  <c r="M45" i="33"/>
  <c r="M63" i="33"/>
  <c r="M79" i="33"/>
  <c r="N50" i="33"/>
  <c r="N71" i="33"/>
  <c r="J39" i="33"/>
  <c r="J71" i="33"/>
  <c r="K42" i="33"/>
  <c r="N37" i="33"/>
  <c r="O69" i="33"/>
  <c r="N38" i="33"/>
  <c r="O43" i="33"/>
  <c r="O70" i="33"/>
  <c r="P12" i="33"/>
  <c r="L38" i="33"/>
  <c r="P50" i="33"/>
  <c r="S5" i="33"/>
  <c r="S5" i="40" s="1"/>
  <c r="S5" i="39" s="1"/>
  <c r="P4" i="33"/>
  <c r="M11" i="33"/>
  <c r="O19" i="33"/>
  <c r="O79" i="33"/>
  <c r="P33" i="33"/>
  <c r="P60" i="33"/>
  <c r="P78" i="33"/>
  <c r="P49" i="33"/>
  <c r="Q42" i="33"/>
  <c r="Q58" i="33"/>
  <c r="Q75" i="33"/>
  <c r="R49" i="33"/>
  <c r="R69" i="33"/>
  <c r="S20" i="33"/>
  <c r="S20" i="40" s="1"/>
  <c r="S42" i="33"/>
  <c r="S58" i="33"/>
  <c r="S75" i="33"/>
  <c r="T34" i="33"/>
  <c r="T69" i="33"/>
  <c r="R57" i="33"/>
  <c r="U29" i="33"/>
  <c r="U51" i="33"/>
  <c r="U72" i="33"/>
  <c r="M5" i="33"/>
  <c r="K5" i="33"/>
  <c r="T38" i="33"/>
  <c r="J4" i="33"/>
  <c r="J33" i="33"/>
  <c r="J65" i="33"/>
  <c r="R33" i="33"/>
  <c r="T14" i="33"/>
  <c r="T14" i="40" s="1"/>
  <c r="K19" i="33"/>
  <c r="K43" i="33"/>
  <c r="K59" i="33"/>
  <c r="K76" i="33"/>
  <c r="L43" i="33"/>
  <c r="L59" i="33"/>
  <c r="L76" i="33"/>
  <c r="M27" i="33"/>
  <c r="M46" i="33"/>
  <c r="M64" i="33"/>
  <c r="M80" i="33"/>
  <c r="N51" i="33"/>
  <c r="N72" i="33"/>
  <c r="O24" i="33"/>
  <c r="L8" i="33"/>
  <c r="P8" i="33"/>
  <c r="M12" i="33"/>
  <c r="O27" i="33"/>
  <c r="O80" i="33"/>
  <c r="P39" i="33"/>
  <c r="P64" i="33"/>
  <c r="N5" i="33"/>
  <c r="P52" i="33"/>
  <c r="Q43" i="33"/>
  <c r="Q59" i="33"/>
  <c r="Q76" i="33"/>
  <c r="R53" i="33"/>
  <c r="R70" i="33"/>
  <c r="S23" i="33"/>
  <c r="S43" i="33"/>
  <c r="S59" i="33"/>
  <c r="S76" i="33"/>
  <c r="T42" i="33"/>
  <c r="T70" i="33"/>
  <c r="R71" i="33"/>
  <c r="U32" i="33"/>
  <c r="U52" i="33"/>
  <c r="U76" i="33"/>
  <c r="R9" i="33"/>
  <c r="R9" i="40" s="1"/>
  <c r="T9" i="33"/>
  <c r="T9" i="40" s="1"/>
  <c r="T39" i="33"/>
  <c r="U5" i="33"/>
  <c r="U5" i="40" s="1"/>
  <c r="U5" i="39" s="1"/>
  <c r="J37" i="33"/>
  <c r="J74" i="33"/>
  <c r="R44" i="33"/>
  <c r="T15" i="33"/>
  <c r="T15" i="40" s="1"/>
  <c r="K20" i="33"/>
  <c r="K44" i="33"/>
  <c r="K60" i="33"/>
  <c r="K78" i="33"/>
  <c r="L44" i="33"/>
  <c r="L60" i="33"/>
  <c r="L78" i="33"/>
  <c r="M29" i="33"/>
  <c r="M49" i="33"/>
  <c r="M65" i="33"/>
  <c r="M82" i="33"/>
  <c r="N52" i="33"/>
  <c r="J43" i="33"/>
  <c r="J75" i="33"/>
  <c r="S4" i="33"/>
  <c r="S4" i="40" s="1"/>
  <c r="S4" i="39" s="1"/>
  <c r="N63" i="33"/>
  <c r="O44" i="33"/>
  <c r="O71" i="33"/>
  <c r="U56" i="33"/>
  <c r="Q69" i="33"/>
  <c r="K70" i="33"/>
  <c r="N78" i="33"/>
  <c r="O56" i="33"/>
  <c r="P58" i="33"/>
  <c r="R11" i="33"/>
  <c r="R11" i="40" s="1"/>
  <c r="U15" i="33"/>
  <c r="U15" i="40" s="1"/>
  <c r="U79" i="33"/>
  <c r="R18" i="33"/>
  <c r="R18" i="40" s="1"/>
  <c r="N11" i="33"/>
  <c r="P27" i="33"/>
  <c r="Q53" i="33"/>
  <c r="R46" i="33"/>
  <c r="S53" i="33"/>
  <c r="T64" i="33"/>
  <c r="U46" i="33"/>
  <c r="T29" i="33"/>
  <c r="K37" i="33"/>
  <c r="M43" i="33"/>
  <c r="O37" i="33"/>
  <c r="L18" i="33"/>
  <c r="L9" i="33"/>
  <c r="M14" i="33"/>
  <c r="O33" i="33"/>
  <c r="O82" i="33"/>
  <c r="P45" i="33"/>
  <c r="P72" i="33"/>
  <c r="Q9" i="33"/>
  <c r="P57" i="33"/>
  <c r="Q44" i="33"/>
  <c r="Q60" i="33"/>
  <c r="Q78" i="33"/>
  <c r="R64" i="33"/>
  <c r="R74" i="33"/>
  <c r="S24" i="33"/>
  <c r="S44" i="33"/>
  <c r="S60" i="33"/>
  <c r="S78" i="33"/>
  <c r="T44" i="33"/>
  <c r="T71" i="33"/>
  <c r="R75" i="33"/>
  <c r="U34" i="33"/>
  <c r="U53" i="33"/>
  <c r="U80" i="33"/>
  <c r="R23" i="33"/>
  <c r="T12" i="33"/>
  <c r="T12" i="40" s="1"/>
  <c r="T43" i="33"/>
  <c r="J8" i="33"/>
  <c r="J38" i="33"/>
  <c r="J76" i="33"/>
  <c r="R52" i="33"/>
  <c r="T19" i="33"/>
  <c r="T19" i="40" s="1"/>
  <c r="K24" i="33"/>
  <c r="K45" i="33"/>
  <c r="K63" i="33"/>
  <c r="K79" i="33"/>
  <c r="L45" i="33"/>
  <c r="L63" i="33"/>
  <c r="L79" i="33"/>
  <c r="M32" i="33"/>
  <c r="M50" i="33"/>
  <c r="M66" i="33"/>
  <c r="M83" i="33"/>
  <c r="N53" i="33"/>
  <c r="J44" i="33"/>
  <c r="J79" i="33"/>
  <c r="N8" i="33"/>
  <c r="N64" i="33"/>
  <c r="O45" i="33"/>
  <c r="O72" i="33"/>
  <c r="U60" i="33"/>
  <c r="O46" i="33"/>
  <c r="O83" i="33"/>
  <c r="U65" i="33"/>
  <c r="P18" i="33"/>
  <c r="M19" i="33"/>
  <c r="O58" i="33"/>
  <c r="L23" i="33"/>
  <c r="L11" i="33"/>
  <c r="M15" i="33"/>
  <c r="O38" i="33"/>
  <c r="Q4" i="33"/>
  <c r="P75" i="33"/>
  <c r="Q8" i="33"/>
  <c r="O8" i="33"/>
  <c r="P59" i="33"/>
  <c r="Q45" i="33"/>
  <c r="Q63" i="33"/>
  <c r="Q79" i="33"/>
  <c r="R79" i="33"/>
  <c r="R78" i="33"/>
  <c r="S25" i="33"/>
  <c r="S45" i="33"/>
  <c r="S63" i="33"/>
  <c r="S79" i="33"/>
  <c r="T49" i="33"/>
  <c r="T72" i="33"/>
  <c r="T52" i="33"/>
  <c r="U37" i="33"/>
  <c r="U57" i="33"/>
  <c r="U82" i="33"/>
  <c r="R25" i="33"/>
  <c r="T18" i="33"/>
  <c r="T18" i="40" s="1"/>
  <c r="T45" i="33"/>
  <c r="J9" i="33"/>
  <c r="J45" i="33"/>
  <c r="J78" i="33"/>
  <c r="R58" i="33"/>
  <c r="U4" i="33"/>
  <c r="U4" i="40" s="1"/>
  <c r="U4" i="39" s="1"/>
  <c r="K25" i="33"/>
  <c r="K46" i="33"/>
  <c r="K64" i="33"/>
  <c r="K80" i="33"/>
  <c r="L46" i="33"/>
  <c r="L64" i="33"/>
  <c r="L80" i="33"/>
  <c r="M33" i="33"/>
  <c r="M51" i="33"/>
  <c r="M69" i="33"/>
  <c r="N34" i="33"/>
  <c r="N56" i="33"/>
  <c r="J46" i="33"/>
  <c r="N9" i="33"/>
  <c r="N65" i="33"/>
  <c r="P76" i="33"/>
  <c r="L34" i="33"/>
  <c r="J23" i="33"/>
  <c r="J57" i="33"/>
  <c r="N27" i="33"/>
  <c r="P9" i="33"/>
  <c r="P51" i="33"/>
  <c r="P69" i="33"/>
  <c r="Q18" i="33"/>
  <c r="Q71" i="33"/>
  <c r="S15" i="33"/>
  <c r="S15" i="40" s="1"/>
  <c r="S71" i="33"/>
  <c r="U23" i="33"/>
  <c r="R56" i="33"/>
  <c r="L4" i="33"/>
  <c r="L72" i="33"/>
  <c r="P20" i="33"/>
  <c r="L25" i="33"/>
  <c r="L14" i="33"/>
  <c r="N18" i="33"/>
  <c r="O63" i="33"/>
  <c r="O9" i="33"/>
  <c r="P79" i="33"/>
  <c r="Q11" i="33"/>
  <c r="O23" i="33"/>
  <c r="P63" i="33"/>
  <c r="Q46" i="33"/>
  <c r="Q64" i="33"/>
  <c r="Q80" i="33"/>
  <c r="R80" i="33"/>
  <c r="M4" i="33"/>
  <c r="M89" i="39" s="1"/>
  <c r="S27" i="33"/>
  <c r="S46" i="33"/>
  <c r="S64" i="33"/>
  <c r="S80" i="33"/>
  <c r="T57" i="33"/>
  <c r="T74" i="33"/>
  <c r="T56" i="33"/>
  <c r="U39" i="33"/>
  <c r="U58" i="33"/>
  <c r="Q12" i="33"/>
  <c r="R34" i="33"/>
  <c r="T20" i="33"/>
  <c r="T20" i="40" s="1"/>
  <c r="T46" i="33"/>
  <c r="J14" i="33"/>
  <c r="J49" i="33"/>
  <c r="J80" i="33"/>
  <c r="R60" i="33"/>
  <c r="T5" i="33"/>
  <c r="T5" i="40" s="1"/>
  <c r="T5" i="39" s="1"/>
  <c r="K27" i="33"/>
  <c r="K49" i="33"/>
  <c r="K65" i="33"/>
  <c r="K82" i="33"/>
  <c r="L49" i="33"/>
  <c r="L65" i="33"/>
  <c r="L82" i="33"/>
  <c r="M34" i="33"/>
  <c r="M52" i="33"/>
  <c r="M70" i="33"/>
  <c r="N39" i="33"/>
  <c r="N57" i="33"/>
  <c r="J50" i="33"/>
  <c r="N14" i="33"/>
  <c r="N74" i="33"/>
  <c r="O50" i="33"/>
  <c r="P11" i="33"/>
  <c r="U74" i="33"/>
  <c r="R37" i="33"/>
  <c r="J58" i="33"/>
  <c r="K52" i="33"/>
  <c r="M39" i="33"/>
  <c r="N60" i="33"/>
  <c r="O57" i="33"/>
  <c r="P66" i="33"/>
  <c r="U83" i="33"/>
  <c r="R5" i="33"/>
  <c r="R5" i="40" s="1"/>
  <c r="R5" i="39" s="1"/>
  <c r="R27" i="33"/>
  <c r="S37" i="33"/>
  <c r="T80" i="33"/>
  <c r="Q37" i="33"/>
  <c r="J24" i="33"/>
  <c r="K56" i="33"/>
  <c r="M59" i="33"/>
  <c r="P5" i="33"/>
  <c r="L27" i="33"/>
  <c r="L15" i="33"/>
  <c r="N19" i="33"/>
  <c r="O64" i="33"/>
  <c r="O14" i="33"/>
  <c r="P80" i="33"/>
  <c r="Q23" i="33"/>
  <c r="O34" i="33"/>
  <c r="P65" i="33"/>
  <c r="Q49" i="33"/>
  <c r="Q65" i="33"/>
  <c r="Q82" i="33"/>
  <c r="R82" i="33"/>
  <c r="L5" i="33"/>
  <c r="S29" i="33"/>
  <c r="S49" i="33"/>
  <c r="S65" i="33"/>
  <c r="S82" i="33"/>
  <c r="T58" i="33"/>
  <c r="T75" i="33"/>
  <c r="J5" i="33"/>
  <c r="U42" i="33"/>
  <c r="U59" i="33"/>
  <c r="Q14" i="33"/>
  <c r="R39" i="33"/>
  <c r="T23" i="33"/>
  <c r="T50" i="33"/>
  <c r="J15" i="33"/>
  <c r="J53" i="33"/>
  <c r="J82" i="33"/>
  <c r="R65" i="33"/>
  <c r="K8" i="33"/>
  <c r="K29" i="33"/>
  <c r="K50" i="33"/>
  <c r="K66" i="33"/>
  <c r="K83" i="33"/>
  <c r="L50" i="33"/>
  <c r="L66" i="33"/>
  <c r="L83" i="33"/>
  <c r="L92" i="39" s="1"/>
  <c r="L99" i="39" s="1"/>
  <c r="L106" i="39" s="1"/>
  <c r="M37" i="33"/>
  <c r="M53" i="33"/>
  <c r="M71" i="33"/>
  <c r="N42" i="33"/>
  <c r="N58" i="33"/>
  <c r="J11" i="33"/>
  <c r="J51" i="33"/>
  <c r="N15" i="33"/>
  <c r="N75" i="33"/>
  <c r="O51" i="33"/>
  <c r="P23" i="33"/>
  <c r="S11" i="33"/>
  <c r="S11" i="40" s="1"/>
  <c r="U75" i="33"/>
  <c r="N24" i="33"/>
  <c r="N76" i="33"/>
  <c r="O52" i="33"/>
  <c r="O15" i="33"/>
  <c r="L29" i="33"/>
  <c r="L19" i="33"/>
  <c r="N20" i="33"/>
  <c r="O65" i="33"/>
  <c r="O25" i="33"/>
  <c r="P82" i="33"/>
  <c r="P32" i="33"/>
  <c r="O49" i="33"/>
  <c r="P71" i="33"/>
  <c r="Q50" i="33"/>
  <c r="Q66" i="33"/>
  <c r="Q83" i="33"/>
  <c r="R83" i="33"/>
  <c r="S9" i="33"/>
  <c r="S9" i="40" s="1"/>
  <c r="S32" i="33"/>
  <c r="S50" i="33"/>
  <c r="S66" i="33"/>
  <c r="S83" i="33"/>
  <c r="T59" i="33"/>
  <c r="T76" i="33"/>
  <c r="U9" i="33"/>
  <c r="U9" i="40" s="1"/>
  <c r="U43" i="33"/>
  <c r="U63" i="33"/>
  <c r="Q19" i="33"/>
  <c r="R42" i="33"/>
  <c r="T24" i="33"/>
  <c r="T51" i="33"/>
  <c r="J18" i="33"/>
  <c r="J56" i="33"/>
  <c r="J83" i="33"/>
  <c r="J92" i="39" s="1"/>
  <c r="R72" i="33"/>
  <c r="K9" i="33"/>
  <c r="K32" i="33"/>
  <c r="K51" i="33"/>
  <c r="K69" i="33"/>
  <c r="L33" i="33"/>
  <c r="L51" i="33"/>
  <c r="L69" i="33"/>
  <c r="M18" i="33"/>
  <c r="M38" i="33"/>
  <c r="M56" i="33"/>
  <c r="M72" i="33"/>
  <c r="N43" i="33"/>
  <c r="N59" i="33"/>
  <c r="J12" i="33"/>
  <c r="J52" i="33"/>
  <c r="L12" i="33"/>
  <c r="P34" i="33"/>
  <c r="U78" i="33"/>
  <c r="O29" i="33"/>
  <c r="L32" i="33"/>
  <c r="L20" i="33"/>
  <c r="N23" i="33"/>
  <c r="O66" i="33"/>
  <c r="O32" i="33"/>
  <c r="P24" i="33"/>
  <c r="P38" i="33"/>
  <c r="Q51" i="33"/>
  <c r="R8" i="33"/>
  <c r="R8" i="40" s="1"/>
  <c r="S12" i="33"/>
  <c r="S12" i="40" s="1"/>
  <c r="S33" i="33"/>
  <c r="S51" i="33"/>
  <c r="S69" i="33"/>
  <c r="Q15" i="33"/>
  <c r="T60" i="33"/>
  <c r="T78" i="33"/>
  <c r="U11" i="33"/>
  <c r="U11" i="40" s="1"/>
  <c r="U44" i="33"/>
  <c r="U64" i="33"/>
  <c r="Q25" i="33"/>
  <c r="R45" i="33"/>
  <c r="T25" i="33"/>
  <c r="T53" i="33"/>
  <c r="J19" i="33"/>
  <c r="Q24" i="33"/>
  <c r="R76" i="33"/>
  <c r="K11" i="33"/>
  <c r="K33" i="33"/>
  <c r="L52" i="33"/>
  <c r="L70" i="33"/>
  <c r="M57" i="33"/>
  <c r="M74" i="33"/>
  <c r="N44" i="33"/>
  <c r="N25" i="33"/>
  <c r="O39" i="33"/>
  <c r="R4" i="33"/>
  <c r="R4" i="40" s="1"/>
  <c r="R4" i="39" s="1"/>
  <c r="L24" i="33"/>
  <c r="N29" i="33"/>
  <c r="O74" i="33"/>
  <c r="O5" i="33"/>
  <c r="P46" i="33"/>
  <c r="P42" i="33"/>
  <c r="P25" i="33"/>
  <c r="O4" i="33"/>
  <c r="Q52" i="33"/>
  <c r="Q70" i="33"/>
  <c r="R14" i="33"/>
  <c r="R14" i="40" s="1"/>
  <c r="R43" i="33"/>
  <c r="S14" i="33"/>
  <c r="S14" i="40" s="1"/>
  <c r="S34" i="33"/>
  <c r="S52" i="33"/>
  <c r="S70" i="33"/>
  <c r="Q27" i="33"/>
  <c r="T63" i="33"/>
  <c r="T79" i="33"/>
  <c r="U19" i="33"/>
  <c r="U19" i="40" s="1"/>
  <c r="U45" i="33"/>
  <c r="U66" i="33"/>
  <c r="Q29" i="33"/>
  <c r="R51" i="33"/>
  <c r="T27" i="33"/>
  <c r="K4" i="33"/>
  <c r="J20" i="33"/>
  <c r="J59" i="33"/>
  <c r="Q33" i="33"/>
  <c r="S8" i="33"/>
  <c r="S8" i="40" s="1"/>
  <c r="K12" i="33"/>
  <c r="K34" i="33"/>
  <c r="K53" i="33"/>
  <c r="K71" i="33"/>
  <c r="L37" i="33"/>
  <c r="L53" i="33"/>
  <c r="L71" i="33"/>
  <c r="M20" i="33"/>
  <c r="M42" i="33"/>
  <c r="M58" i="33"/>
  <c r="M75" i="33"/>
  <c r="N45" i="33"/>
  <c r="N66" i="33"/>
  <c r="J25" i="33"/>
  <c r="J66" i="33"/>
  <c r="N79" i="33"/>
  <c r="U18" i="33"/>
  <c r="U18" i="40" s="1"/>
  <c r="O75" i="33"/>
  <c r="R12" i="33"/>
  <c r="R12" i="40" s="1"/>
  <c r="N46" i="33"/>
  <c r="J69" i="33"/>
  <c r="O59" i="33"/>
  <c r="U20" i="33"/>
  <c r="U20" i="40" s="1"/>
  <c r="N80" i="33"/>
  <c r="R19" i="33"/>
  <c r="R19" i="40" s="1"/>
  <c r="N32" i="33"/>
  <c r="O18" i="33"/>
  <c r="P83" i="33"/>
  <c r="K84" i="33"/>
  <c r="L84" i="33"/>
  <c r="M84" i="33"/>
  <c r="N84" i="33"/>
  <c r="O84" i="33"/>
  <c r="P84" i="33"/>
  <c r="Q84" i="33"/>
  <c r="R84" i="33"/>
  <c r="S84" i="33"/>
  <c r="T84" i="33"/>
  <c r="U84" i="33"/>
  <c r="J84" i="33"/>
  <c r="J88" i="37"/>
  <c r="P151" i="28"/>
  <c r="P150" i="28"/>
  <c r="A22" i="30"/>
  <c r="A21" i="30"/>
  <c r="A20" i="30"/>
  <c r="A19" i="30"/>
  <c r="A18" i="30"/>
  <c r="A16" i="30"/>
  <c r="A17" i="30"/>
  <c r="A15" i="30"/>
  <c r="A14" i="30"/>
  <c r="D6" i="30"/>
  <c r="A13" i="30"/>
  <c r="A12" i="30"/>
  <c r="A11" i="30"/>
  <c r="A10" i="30"/>
  <c r="A9" i="30"/>
  <c r="A8" i="30"/>
  <c r="A6" i="30"/>
  <c r="I26" i="18"/>
  <c r="V83" i="36"/>
  <c r="W83" i="36"/>
  <c r="V82" i="36"/>
  <c r="V50" i="36"/>
  <c r="V52" i="36"/>
  <c r="T37" i="39" l="1"/>
  <c r="T41" i="41" s="1"/>
  <c r="T5" i="41"/>
  <c r="T15" i="39"/>
  <c r="T17" i="41" s="1"/>
  <c r="S75" i="39"/>
  <c r="S79" i="41" s="1"/>
  <c r="S50" i="39"/>
  <c r="S54" i="41" s="1"/>
  <c r="T42" i="39"/>
  <c r="T46" i="41" s="1"/>
  <c r="S18" i="39"/>
  <c r="S20" i="41" s="1"/>
  <c r="T27" i="39"/>
  <c r="T51" i="39"/>
  <c r="T55" i="41" s="1"/>
  <c r="S80" i="39"/>
  <c r="S84" i="41" s="1"/>
  <c r="S76" i="39"/>
  <c r="S80" i="41" s="1"/>
  <c r="S51" i="39"/>
  <c r="S55" i="41" s="1"/>
  <c r="S9" i="39"/>
  <c r="S78" i="39"/>
  <c r="S82" i="41" s="1"/>
  <c r="S53" i="39"/>
  <c r="S57" i="41" s="1"/>
  <c r="T38" i="39"/>
  <c r="T42" i="41" s="1"/>
  <c r="S20" i="39"/>
  <c r="S22" i="41" s="1"/>
  <c r="S12" i="39"/>
  <c r="S13" i="41" s="1"/>
  <c r="S23" i="39"/>
  <c r="S25" i="41" s="1"/>
  <c r="S5" i="41"/>
  <c r="T80" i="39"/>
  <c r="T84" i="41" s="1"/>
  <c r="T20" i="39"/>
  <c r="T22" i="41" s="1"/>
  <c r="S79" i="39"/>
  <c r="S83" i="41" s="1"/>
  <c r="T43" i="39"/>
  <c r="T47" i="41" s="1"/>
  <c r="S24" i="39"/>
  <c r="S26" i="41" s="1"/>
  <c r="T9" i="39"/>
  <c r="T11" i="39"/>
  <c r="T12" i="41" s="1"/>
  <c r="S82" i="39"/>
  <c r="S37" i="39"/>
  <c r="S41" i="41" s="1"/>
  <c r="T12" i="39"/>
  <c r="T13" i="41" s="1"/>
  <c r="T33" i="39"/>
  <c r="T37" i="41" s="1"/>
  <c r="T82" i="39"/>
  <c r="T78" i="39"/>
  <c r="T82" i="41" s="1"/>
  <c r="T23" i="39"/>
  <c r="T25" i="41" s="1"/>
  <c r="S52" i="39"/>
  <c r="S56" i="41" s="1"/>
  <c r="T74" i="39"/>
  <c r="T78" i="41" s="1"/>
  <c r="S38" i="39"/>
  <c r="S42" i="41" s="1"/>
  <c r="S34" i="39"/>
  <c r="S38" i="41" s="1"/>
  <c r="T19" i="39"/>
  <c r="T21" i="41" s="1"/>
  <c r="T32" i="39"/>
  <c r="T36" i="41" s="1"/>
  <c r="S14" i="39"/>
  <c r="S16" i="41" s="1"/>
  <c r="S32" i="39"/>
  <c r="S36" i="41" s="1"/>
  <c r="S42" i="39"/>
  <c r="S46" i="41" s="1"/>
  <c r="T24" i="39"/>
  <c r="T26" i="41" s="1"/>
  <c r="S33" i="39"/>
  <c r="S37" i="41" s="1"/>
  <c r="S46" i="39"/>
  <c r="S50" i="41" s="1"/>
  <c r="T25" i="39"/>
  <c r="T27" i="41" s="1"/>
  <c r="S27" i="39"/>
  <c r="T49" i="39"/>
  <c r="T53" i="41" s="1"/>
  <c r="S44" i="39"/>
  <c r="S48" i="41" s="1"/>
  <c r="T39" i="39"/>
  <c r="T43" i="41" s="1"/>
  <c r="T79" i="39"/>
  <c r="T83" i="41" s="1"/>
  <c r="S45" i="39"/>
  <c r="S49" i="41" s="1"/>
  <c r="S74" i="39"/>
  <c r="S78" i="41" s="1"/>
  <c r="T8" i="39"/>
  <c r="M114" i="41"/>
  <c r="S8" i="39"/>
  <c r="X8" i="41"/>
  <c r="T76" i="39"/>
  <c r="T80" i="41" s="1"/>
  <c r="S49" i="39"/>
  <c r="S53" i="41" s="1"/>
  <c r="T45" i="39"/>
  <c r="T49" i="41" s="1"/>
  <c r="S25" i="39"/>
  <c r="S27" i="41" s="1"/>
  <c r="T34" i="39"/>
  <c r="T38" i="41" s="1"/>
  <c r="S19" i="39"/>
  <c r="S21" i="41" s="1"/>
  <c r="S15" i="39"/>
  <c r="S17" i="41" s="1"/>
  <c r="T44" i="39"/>
  <c r="T48" i="41" s="1"/>
  <c r="T52" i="39"/>
  <c r="T56" i="41" s="1"/>
  <c r="T53" i="39"/>
  <c r="T57" i="41" s="1"/>
  <c r="S43" i="39"/>
  <c r="S47" i="41" s="1"/>
  <c r="T75" i="39"/>
  <c r="T79" i="41" s="1"/>
  <c r="T46" i="39"/>
  <c r="T50" i="41" s="1"/>
  <c r="S11" i="39"/>
  <c r="S12" i="41" s="1"/>
  <c r="T50" i="39"/>
  <c r="T54" i="41" s="1"/>
  <c r="T18" i="39"/>
  <c r="T20" i="41" s="1"/>
  <c r="T14" i="39"/>
  <c r="T16" i="41" s="1"/>
  <c r="S39" i="39"/>
  <c r="S43" i="41" s="1"/>
  <c r="W74" i="40"/>
  <c r="R124" i="28" s="1"/>
  <c r="U74" i="39"/>
  <c r="V80" i="40"/>
  <c r="I80" i="40"/>
  <c r="R80" i="39"/>
  <c r="R84" i="41" s="1"/>
  <c r="V74" i="40"/>
  <c r="R121" i="28" s="1"/>
  <c r="I74" i="40"/>
  <c r="R74" i="39"/>
  <c r="R78" i="41" s="1"/>
  <c r="W76" i="40"/>
  <c r="U76" i="39"/>
  <c r="W75" i="40"/>
  <c r="R125" i="28" s="1"/>
  <c r="U75" i="39"/>
  <c r="W80" i="40"/>
  <c r="U80" i="39"/>
  <c r="W79" i="40"/>
  <c r="R118" i="28" s="1"/>
  <c r="U79" i="39"/>
  <c r="W83" i="40"/>
  <c r="R112" i="28" s="1"/>
  <c r="U92" i="40"/>
  <c r="U99" i="40" s="1"/>
  <c r="U106" i="40" s="1"/>
  <c r="U113" i="40" s="1"/>
  <c r="U83" i="39"/>
  <c r="V78" i="40"/>
  <c r="R114" i="28" s="1"/>
  <c r="R78" i="39"/>
  <c r="R82" i="41" s="1"/>
  <c r="I78" i="40"/>
  <c r="S92" i="40"/>
  <c r="S99" i="40" s="1"/>
  <c r="S106" i="40" s="1"/>
  <c r="S113" i="40" s="1"/>
  <c r="S83" i="39"/>
  <c r="V79" i="40"/>
  <c r="R115" i="28" s="1"/>
  <c r="I79" i="40"/>
  <c r="R79" i="39"/>
  <c r="R83" i="41" s="1"/>
  <c r="V82" i="40"/>
  <c r="I82" i="40"/>
  <c r="I81" i="40" s="1"/>
  <c r="R82" i="39"/>
  <c r="W82" i="40"/>
  <c r="U82" i="39"/>
  <c r="V75" i="40"/>
  <c r="R122" i="28" s="1"/>
  <c r="R75" i="39"/>
  <c r="R79" i="41" s="1"/>
  <c r="I75" i="40"/>
  <c r="I76" i="40"/>
  <c r="V76" i="40"/>
  <c r="R76" i="39"/>
  <c r="R80" i="41" s="1"/>
  <c r="S72" i="39"/>
  <c r="S76" i="41" s="1"/>
  <c r="T72" i="39"/>
  <c r="T76" i="41" s="1"/>
  <c r="W78" i="40"/>
  <c r="R117" i="28" s="1"/>
  <c r="U78" i="39"/>
  <c r="V83" i="40"/>
  <c r="R92" i="40"/>
  <c r="R83" i="39"/>
  <c r="I83" i="40"/>
  <c r="T92" i="40"/>
  <c r="T99" i="40" s="1"/>
  <c r="T106" i="40" s="1"/>
  <c r="T113" i="40" s="1"/>
  <c r="T83" i="39"/>
  <c r="T96" i="41" s="1"/>
  <c r="T117" i="41" s="1"/>
  <c r="I37" i="40"/>
  <c r="V37" i="40"/>
  <c r="R73" i="28" s="1"/>
  <c r="R37" i="39"/>
  <c r="R41" i="41" s="1"/>
  <c r="W64" i="40"/>
  <c r="R42" i="28" s="1"/>
  <c r="U64" i="39"/>
  <c r="R64" i="39"/>
  <c r="R68" i="41" s="1"/>
  <c r="W29" i="40"/>
  <c r="W30" i="40" s="1"/>
  <c r="U29" i="39"/>
  <c r="V23" i="40"/>
  <c r="R31" i="28" s="1"/>
  <c r="I23" i="40"/>
  <c r="R23" i="39"/>
  <c r="R25" i="41" s="1"/>
  <c r="V18" i="40"/>
  <c r="R23" i="28" s="1"/>
  <c r="R18" i="39"/>
  <c r="R20" i="41" s="1"/>
  <c r="I18" i="40"/>
  <c r="W44" i="40"/>
  <c r="R84" i="28" s="1"/>
  <c r="U44" i="39"/>
  <c r="R5" i="41"/>
  <c r="V5" i="40"/>
  <c r="I5" i="40"/>
  <c r="W58" i="40"/>
  <c r="R104" i="28" s="1"/>
  <c r="U58" i="39"/>
  <c r="S4" i="41"/>
  <c r="S89" i="40"/>
  <c r="S96" i="40" s="1"/>
  <c r="S103" i="40" s="1"/>
  <c r="S110" i="40" s="1"/>
  <c r="W52" i="40"/>
  <c r="R95" i="28" s="1"/>
  <c r="U52" i="39"/>
  <c r="R57" i="39"/>
  <c r="R61" i="41" s="1"/>
  <c r="V15" i="40"/>
  <c r="R15" i="39"/>
  <c r="R17" i="41" s="1"/>
  <c r="I15" i="40"/>
  <c r="W19" i="40"/>
  <c r="R27" i="28" s="1"/>
  <c r="U19" i="39"/>
  <c r="W20" i="40"/>
  <c r="U20" i="39"/>
  <c r="S29" i="39"/>
  <c r="S33" i="41" s="1"/>
  <c r="W39" i="40"/>
  <c r="U39" i="39"/>
  <c r="W53" i="40"/>
  <c r="U53" i="39"/>
  <c r="W15" i="40"/>
  <c r="U15" i="39"/>
  <c r="W32" i="40"/>
  <c r="R68" i="28" s="1"/>
  <c r="U32" i="39"/>
  <c r="W14" i="40"/>
  <c r="U14" i="39"/>
  <c r="W24" i="40"/>
  <c r="R35" i="28" s="1"/>
  <c r="U24" i="39"/>
  <c r="U26" i="41" s="1"/>
  <c r="W26" i="41" s="1"/>
  <c r="W66" i="40"/>
  <c r="U66" i="39"/>
  <c r="V27" i="40"/>
  <c r="V28" i="40" s="1"/>
  <c r="R62" i="28" s="1"/>
  <c r="I27" i="40"/>
  <c r="I26" i="40" s="1"/>
  <c r="R27" i="39"/>
  <c r="R56" i="39"/>
  <c r="R60" i="41" s="1"/>
  <c r="I25" i="40"/>
  <c r="V25" i="40"/>
  <c r="R25" i="39"/>
  <c r="R27" i="41" s="1"/>
  <c r="W34" i="40"/>
  <c r="U34" i="39"/>
  <c r="I11" i="40"/>
  <c r="V11" i="40"/>
  <c r="R11" i="39"/>
  <c r="R12" i="41" s="1"/>
  <c r="V72" i="40"/>
  <c r="R72" i="39"/>
  <c r="R76" i="41" s="1"/>
  <c r="I72" i="40"/>
  <c r="V33" i="40"/>
  <c r="R66" i="28" s="1"/>
  <c r="R33" i="39"/>
  <c r="R37" i="41" s="1"/>
  <c r="I33" i="40"/>
  <c r="W8" i="40"/>
  <c r="U8" i="39"/>
  <c r="W8" i="39" s="1"/>
  <c r="V20" i="40"/>
  <c r="I20" i="40"/>
  <c r="R20" i="39"/>
  <c r="R22" i="41" s="1"/>
  <c r="I39" i="40"/>
  <c r="V39" i="40"/>
  <c r="R39" i="39"/>
  <c r="R43" i="41" s="1"/>
  <c r="W23" i="40"/>
  <c r="R34" i="28" s="1"/>
  <c r="U23" i="39"/>
  <c r="U25" i="41" s="1"/>
  <c r="W25" i="41" s="1"/>
  <c r="T29" i="39"/>
  <c r="T33" i="41" s="1"/>
  <c r="R66" i="39"/>
  <c r="R70" i="41" s="1"/>
  <c r="R63" i="39"/>
  <c r="R67" i="41" s="1"/>
  <c r="W70" i="40"/>
  <c r="R51" i="28" s="1"/>
  <c r="U70" i="39"/>
  <c r="U12" i="39"/>
  <c r="W12" i="40"/>
  <c r="W9" i="40"/>
  <c r="U9" i="39"/>
  <c r="W9" i="39" s="1"/>
  <c r="R60" i="39"/>
  <c r="R64" i="41" s="1"/>
  <c r="W57" i="40"/>
  <c r="U57" i="39"/>
  <c r="W46" i="40"/>
  <c r="U46" i="39"/>
  <c r="V44" i="40"/>
  <c r="R81" i="28" s="1"/>
  <c r="R44" i="39"/>
  <c r="R48" i="41" s="1"/>
  <c r="I44" i="40"/>
  <c r="V38" i="40"/>
  <c r="R74" i="28" s="1"/>
  <c r="I38" i="40"/>
  <c r="R38" i="39"/>
  <c r="R42" i="41" s="1"/>
  <c r="T89" i="40"/>
  <c r="T96" i="40" s="1"/>
  <c r="T103" i="40" s="1"/>
  <c r="T110" i="40" s="1"/>
  <c r="T4" i="41"/>
  <c r="V19" i="40"/>
  <c r="R24" i="28" s="1"/>
  <c r="R19" i="39"/>
  <c r="R21" i="41" s="1"/>
  <c r="I19" i="40"/>
  <c r="W72" i="40"/>
  <c r="U72" i="39"/>
  <c r="R59" i="39"/>
  <c r="R63" i="41" s="1"/>
  <c r="I50" i="40"/>
  <c r="R50" i="39"/>
  <c r="R54" i="41" s="1"/>
  <c r="V50" i="40"/>
  <c r="W43" i="40"/>
  <c r="U43" i="39"/>
  <c r="W59" i="40"/>
  <c r="R105" i="28" s="1"/>
  <c r="U59" i="39"/>
  <c r="V43" i="40"/>
  <c r="R43" i="39"/>
  <c r="R47" i="41" s="1"/>
  <c r="I43" i="40"/>
  <c r="W42" i="40"/>
  <c r="U42" i="39"/>
  <c r="W65" i="40"/>
  <c r="R43" i="28" s="1"/>
  <c r="U65" i="39"/>
  <c r="W50" i="40"/>
  <c r="U50" i="39"/>
  <c r="W38" i="40"/>
  <c r="R77" i="28" s="1"/>
  <c r="U38" i="39"/>
  <c r="U42" i="41" s="1"/>
  <c r="V29" i="40"/>
  <c r="V30" i="40" s="1"/>
  <c r="R58" i="28" s="1"/>
  <c r="I29" i="40"/>
  <c r="I28" i="40" s="1"/>
  <c r="R29" i="39"/>
  <c r="R33" i="41" s="1"/>
  <c r="R90" i="40"/>
  <c r="W11" i="40"/>
  <c r="U11" i="39"/>
  <c r="I12" i="40"/>
  <c r="R12" i="39"/>
  <c r="R13" i="41" s="1"/>
  <c r="V12" i="40"/>
  <c r="W37" i="40"/>
  <c r="R76" i="28" s="1"/>
  <c r="U37" i="39"/>
  <c r="V52" i="40"/>
  <c r="R92" i="28" s="1"/>
  <c r="R52" i="39"/>
  <c r="R56" i="41" s="1"/>
  <c r="I52" i="40"/>
  <c r="V51" i="40"/>
  <c r="R91" i="28" s="1"/>
  <c r="R51" i="39"/>
  <c r="R55" i="41" s="1"/>
  <c r="I51" i="40"/>
  <c r="V4" i="40"/>
  <c r="R89" i="40"/>
  <c r="I4" i="40"/>
  <c r="R4" i="41"/>
  <c r="W18" i="40"/>
  <c r="R26" i="28" s="1"/>
  <c r="U18" i="39"/>
  <c r="U20" i="41" s="1"/>
  <c r="W20" i="41" s="1"/>
  <c r="V14" i="40"/>
  <c r="I14" i="40"/>
  <c r="R14" i="39"/>
  <c r="R16" i="41" s="1"/>
  <c r="I42" i="40"/>
  <c r="V42" i="40"/>
  <c r="R42" i="39"/>
  <c r="R46" i="41" s="1"/>
  <c r="W4" i="40"/>
  <c r="U89" i="40"/>
  <c r="U96" i="40" s="1"/>
  <c r="U103" i="40" s="1"/>
  <c r="U110" i="40" s="1"/>
  <c r="U4" i="41"/>
  <c r="V46" i="40"/>
  <c r="R46" i="39"/>
  <c r="R50" i="41" s="1"/>
  <c r="I46" i="40"/>
  <c r="W5" i="40"/>
  <c r="R70" i="39"/>
  <c r="R74" i="41" s="1"/>
  <c r="W27" i="40"/>
  <c r="W28" i="40" s="1"/>
  <c r="U27" i="39"/>
  <c r="W71" i="40"/>
  <c r="R52" i="28" s="1"/>
  <c r="U71" i="39"/>
  <c r="R69" i="39"/>
  <c r="R73" i="41" s="1"/>
  <c r="R58" i="39"/>
  <c r="R62" i="41" s="1"/>
  <c r="V49" i="40"/>
  <c r="R49" i="39"/>
  <c r="R53" i="41" s="1"/>
  <c r="I49" i="40"/>
  <c r="W49" i="40"/>
  <c r="U49" i="39"/>
  <c r="W56" i="40"/>
  <c r="U56" i="39"/>
  <c r="W45" i="40"/>
  <c r="R85" i="28" s="1"/>
  <c r="S85" i="28" s="1"/>
  <c r="U45" i="39"/>
  <c r="V45" i="40"/>
  <c r="R82" i="28" s="1"/>
  <c r="R45" i="39"/>
  <c r="R49" i="41" s="1"/>
  <c r="I45" i="40"/>
  <c r="V8" i="40"/>
  <c r="I8" i="40"/>
  <c r="R8" i="39"/>
  <c r="W63" i="40"/>
  <c r="U63" i="39"/>
  <c r="R65" i="39"/>
  <c r="R69" i="41" s="1"/>
  <c r="U90" i="40"/>
  <c r="U97" i="40" s="1"/>
  <c r="U104" i="40" s="1"/>
  <c r="U111" i="40" s="1"/>
  <c r="R71" i="39"/>
  <c r="R75" i="41" s="1"/>
  <c r="W33" i="40"/>
  <c r="R69" i="28" s="1"/>
  <c r="U33" i="39"/>
  <c r="W25" i="40"/>
  <c r="U25" i="39"/>
  <c r="V34" i="40"/>
  <c r="R34" i="39"/>
  <c r="R38" i="41" s="1"/>
  <c r="I34" i="40"/>
  <c r="I9" i="40"/>
  <c r="R9" i="39"/>
  <c r="V9" i="40"/>
  <c r="I53" i="40"/>
  <c r="R53" i="39"/>
  <c r="R57" i="41" s="1"/>
  <c r="V53" i="40"/>
  <c r="W51" i="40"/>
  <c r="R94" i="28" s="1"/>
  <c r="U51" i="39"/>
  <c r="V32" i="40"/>
  <c r="R65" i="28" s="1"/>
  <c r="R32" i="39"/>
  <c r="R36" i="41" s="1"/>
  <c r="I32" i="40"/>
  <c r="V24" i="40"/>
  <c r="R32" i="28" s="1"/>
  <c r="R24" i="39"/>
  <c r="R26" i="41" s="1"/>
  <c r="I24" i="40"/>
  <c r="W69" i="40"/>
  <c r="U69" i="39"/>
  <c r="U90" i="33"/>
  <c r="M96" i="39"/>
  <c r="M103" i="39" s="1"/>
  <c r="M110" i="39" s="1"/>
  <c r="N92" i="39"/>
  <c r="N99" i="39" s="1"/>
  <c r="N106" i="39" s="1"/>
  <c r="N113" i="39" s="1"/>
  <c r="L89" i="39"/>
  <c r="P92" i="39"/>
  <c r="P99" i="39" s="1"/>
  <c r="P106" i="39" s="1"/>
  <c r="P113" i="39" s="1"/>
  <c r="O89" i="39"/>
  <c r="Q96" i="39"/>
  <c r="Q103" i="39" s="1"/>
  <c r="Q110" i="39" s="1"/>
  <c r="Q92" i="39"/>
  <c r="Q99" i="39" s="1"/>
  <c r="Q106" i="39" s="1"/>
  <c r="Q113" i="39" s="1"/>
  <c r="N89" i="39"/>
  <c r="M92" i="39"/>
  <c r="M99" i="39" s="1"/>
  <c r="M106" i="39" s="1"/>
  <c r="M113" i="39" s="1"/>
  <c r="K89" i="39"/>
  <c r="K92" i="39"/>
  <c r="K99" i="39" s="1"/>
  <c r="K106" i="39" s="1"/>
  <c r="K113" i="39" s="1"/>
  <c r="O92" i="39"/>
  <c r="O99" i="39" s="1"/>
  <c r="O106" i="39" s="1"/>
  <c r="O113" i="39" s="1"/>
  <c r="P89" i="39"/>
  <c r="L113" i="39"/>
  <c r="J99" i="39"/>
  <c r="J106" i="39" s="1"/>
  <c r="M90" i="33"/>
  <c r="K90" i="33"/>
  <c r="O90" i="33"/>
  <c r="Q90" i="33"/>
  <c r="L90" i="33"/>
  <c r="S90" i="33"/>
  <c r="T90" i="33"/>
  <c r="P90" i="33"/>
  <c r="N90" i="33"/>
  <c r="J90" i="33"/>
  <c r="R90" i="33"/>
  <c r="I8" i="33"/>
  <c r="I84" i="33"/>
  <c r="V84" i="33"/>
  <c r="W84" i="33"/>
  <c r="T93" i="41" l="1"/>
  <c r="T100" i="41" s="1"/>
  <c r="T107" i="41" s="1"/>
  <c r="R93" i="41"/>
  <c r="R100" i="41" s="1"/>
  <c r="R107" i="41" s="1"/>
  <c r="S93" i="41"/>
  <c r="S100" i="41" s="1"/>
  <c r="S107" i="41" s="1"/>
  <c r="V46" i="41"/>
  <c r="V33" i="41"/>
  <c r="T26" i="28"/>
  <c r="U41" i="41"/>
  <c r="W41" i="41" s="1"/>
  <c r="W39" i="39"/>
  <c r="U43" i="41"/>
  <c r="W43" i="41" s="1"/>
  <c r="U5" i="41"/>
  <c r="W5" i="41" s="1"/>
  <c r="V70" i="40"/>
  <c r="R48" i="28" s="1"/>
  <c r="V20" i="41"/>
  <c r="T23" i="28" s="1"/>
  <c r="V4" i="41"/>
  <c r="I25" i="41"/>
  <c r="V54" i="41"/>
  <c r="V48" i="41"/>
  <c r="V76" i="41"/>
  <c r="W52" i="39"/>
  <c r="U56" i="41"/>
  <c r="W56" i="41" s="1"/>
  <c r="W50" i="39"/>
  <c r="U54" i="41"/>
  <c r="W54" i="41" s="1"/>
  <c r="W65" i="39"/>
  <c r="U69" i="41"/>
  <c r="W69" i="41" s="1"/>
  <c r="W14" i="39"/>
  <c r="U16" i="41"/>
  <c r="W16" i="41" s="1"/>
  <c r="W29" i="39"/>
  <c r="W30" i="39" s="1"/>
  <c r="U33" i="41"/>
  <c r="I33" i="41" s="1"/>
  <c r="I31" i="41" s="1"/>
  <c r="R92" i="39"/>
  <c r="R99" i="39" s="1"/>
  <c r="R106" i="39" s="1"/>
  <c r="R113" i="39" s="1"/>
  <c r="W59" i="39"/>
  <c r="U63" i="41"/>
  <c r="W63" i="41" s="1"/>
  <c r="W38" i="39"/>
  <c r="W42" i="41"/>
  <c r="U92" i="39"/>
  <c r="U99" i="39" s="1"/>
  <c r="U106" i="39" s="1"/>
  <c r="U113" i="39" s="1"/>
  <c r="W12" i="39"/>
  <c r="U13" i="41"/>
  <c r="W13" i="41" s="1"/>
  <c r="S92" i="39"/>
  <c r="S99" i="39" s="1"/>
  <c r="S106" i="39" s="1"/>
  <c r="S113" i="39" s="1"/>
  <c r="S96" i="41"/>
  <c r="S117" i="41" s="1"/>
  <c r="W27" i="39"/>
  <c r="W28" i="39" s="1"/>
  <c r="W30" i="41"/>
  <c r="W31" i="41" s="1"/>
  <c r="W72" i="39"/>
  <c r="U76" i="41"/>
  <c r="W76" i="41" s="1"/>
  <c r="W19" i="39"/>
  <c r="U21" i="41"/>
  <c r="W21" i="41" s="1"/>
  <c r="T27" i="28" s="1"/>
  <c r="U27" i="28" s="1"/>
  <c r="V27" i="28" s="1"/>
  <c r="W80" i="39"/>
  <c r="U84" i="41"/>
  <c r="W84" i="41" s="1"/>
  <c r="W53" i="39"/>
  <c r="U57" i="41"/>
  <c r="W57" i="41" s="1"/>
  <c r="W74" i="39"/>
  <c r="U78" i="41"/>
  <c r="W78" i="41" s="1"/>
  <c r="W43" i="39"/>
  <c r="U47" i="41"/>
  <c r="W47" i="41" s="1"/>
  <c r="W76" i="39"/>
  <c r="U80" i="41"/>
  <c r="W80" i="41" s="1"/>
  <c r="W51" i="39"/>
  <c r="U55" i="41"/>
  <c r="W55" i="41" s="1"/>
  <c r="W4" i="39"/>
  <c r="W33" i="39"/>
  <c r="U37" i="41"/>
  <c r="W37" i="41" s="1"/>
  <c r="W71" i="39"/>
  <c r="U75" i="41"/>
  <c r="W75" i="41" s="1"/>
  <c r="W70" i="39"/>
  <c r="U74" i="41"/>
  <c r="W74" i="41" s="1"/>
  <c r="W34" i="39"/>
  <c r="U38" i="41"/>
  <c r="W38" i="41" s="1"/>
  <c r="W58" i="39"/>
  <c r="W62" i="41"/>
  <c r="W42" i="39"/>
  <c r="U46" i="41"/>
  <c r="W46" i="41" s="1"/>
  <c r="W69" i="39"/>
  <c r="U73" i="41"/>
  <c r="W73" i="41" s="1"/>
  <c r="W56" i="39"/>
  <c r="U60" i="41"/>
  <c r="W60" i="41" s="1"/>
  <c r="W46" i="39"/>
  <c r="U50" i="41"/>
  <c r="W50" i="41" s="1"/>
  <c r="W32" i="39"/>
  <c r="U36" i="41"/>
  <c r="W36" i="41" s="1"/>
  <c r="T70" i="39"/>
  <c r="T74" i="41" s="1"/>
  <c r="W82" i="39"/>
  <c r="W86" i="41"/>
  <c r="W79" i="39"/>
  <c r="U83" i="41"/>
  <c r="W83" i="41" s="1"/>
  <c r="W45" i="39"/>
  <c r="U49" i="41"/>
  <c r="W49" i="41" s="1"/>
  <c r="W64" i="39"/>
  <c r="U68" i="41"/>
  <c r="W68" i="41" s="1"/>
  <c r="W78" i="39"/>
  <c r="U82" i="41"/>
  <c r="W82" i="41" s="1"/>
  <c r="W75" i="39"/>
  <c r="U79" i="41"/>
  <c r="W79" i="41" s="1"/>
  <c r="W66" i="39"/>
  <c r="U70" i="41"/>
  <c r="W70" i="41" s="1"/>
  <c r="W25" i="39"/>
  <c r="U27" i="41"/>
  <c r="W27" i="41" s="1"/>
  <c r="W20" i="39"/>
  <c r="U22" i="41"/>
  <c r="W22" i="41" s="1"/>
  <c r="T28" i="28" s="1"/>
  <c r="W11" i="39"/>
  <c r="U12" i="41"/>
  <c r="W12" i="41" s="1"/>
  <c r="W63" i="39"/>
  <c r="U67" i="41"/>
  <c r="W67" i="41" s="1"/>
  <c r="W49" i="39"/>
  <c r="U53" i="41"/>
  <c r="W53" i="41" s="1"/>
  <c r="W57" i="39"/>
  <c r="U61" i="41"/>
  <c r="W61" i="41" s="1"/>
  <c r="W15" i="39"/>
  <c r="U17" i="41"/>
  <c r="W17" i="41" s="1"/>
  <c r="W44" i="39"/>
  <c r="U48" i="41"/>
  <c r="W48" i="41" s="1"/>
  <c r="I43" i="41"/>
  <c r="V56" i="41"/>
  <c r="V36" i="41"/>
  <c r="V53" i="41"/>
  <c r="V49" i="41"/>
  <c r="V12" i="41"/>
  <c r="V9" i="39"/>
  <c r="X9" i="39" s="1"/>
  <c r="V14" i="39"/>
  <c r="I5" i="39"/>
  <c r="V79" i="41"/>
  <c r="V50" i="41"/>
  <c r="V17" i="41"/>
  <c r="V86" i="41"/>
  <c r="I26" i="41"/>
  <c r="V37" i="41"/>
  <c r="V60" i="40"/>
  <c r="R103" i="28" s="1"/>
  <c r="V57" i="40"/>
  <c r="R109" i="28" s="1"/>
  <c r="V78" i="39"/>
  <c r="V63" i="40"/>
  <c r="R46" i="28" s="1"/>
  <c r="I66" i="40"/>
  <c r="V25" i="39"/>
  <c r="I58" i="40"/>
  <c r="I56" i="40"/>
  <c r="V15" i="39"/>
  <c r="V57" i="41"/>
  <c r="V5" i="39"/>
  <c r="V12" i="39"/>
  <c r="V5" i="41"/>
  <c r="V42" i="41"/>
  <c r="W83" i="39"/>
  <c r="V19" i="39"/>
  <c r="T56" i="39"/>
  <c r="T60" i="41" s="1"/>
  <c r="I65" i="40"/>
  <c r="I82" i="39"/>
  <c r="I81" i="39" s="1"/>
  <c r="AB128" i="28" s="1"/>
  <c r="V82" i="39"/>
  <c r="V58" i="40"/>
  <c r="R101" i="28" s="1"/>
  <c r="V78" i="41"/>
  <c r="V43" i="41"/>
  <c r="I69" i="40"/>
  <c r="V55" i="41"/>
  <c r="I57" i="40"/>
  <c r="V37" i="39"/>
  <c r="S90" i="40"/>
  <c r="S97" i="40" s="1"/>
  <c r="S104" i="40" s="1"/>
  <c r="S111" i="40" s="1"/>
  <c r="V30" i="41"/>
  <c r="V31" i="41" s="1"/>
  <c r="V21" i="41"/>
  <c r="T24" i="28" s="1"/>
  <c r="V13" i="41"/>
  <c r="T59" i="39"/>
  <c r="T63" i="41" s="1"/>
  <c r="V64" i="40"/>
  <c r="R39" i="28" s="1"/>
  <c r="T58" i="39"/>
  <c r="T62" i="41" s="1"/>
  <c r="T64" i="39"/>
  <c r="T68" i="41" s="1"/>
  <c r="V74" i="39"/>
  <c r="V69" i="40"/>
  <c r="R55" i="28" s="1"/>
  <c r="T60" i="39"/>
  <c r="T64" i="41" s="1"/>
  <c r="V65" i="40"/>
  <c r="R40" i="28" s="1"/>
  <c r="S63" i="39"/>
  <c r="S67" i="41" s="1"/>
  <c r="V8" i="39"/>
  <c r="X8" i="39" s="1"/>
  <c r="V71" i="40"/>
  <c r="R49" i="28" s="1"/>
  <c r="T63" i="39"/>
  <c r="T67" i="41" s="1"/>
  <c r="V25" i="41"/>
  <c r="V84" i="41"/>
  <c r="V22" i="41"/>
  <c r="T25" i="28" s="1"/>
  <c r="V59" i="40"/>
  <c r="R102" i="28" s="1"/>
  <c r="S59" i="39"/>
  <c r="S63" i="41" s="1"/>
  <c r="V53" i="39"/>
  <c r="T57" i="39"/>
  <c r="T61" i="41" s="1"/>
  <c r="S57" i="39"/>
  <c r="S61" i="41" s="1"/>
  <c r="X9" i="41"/>
  <c r="X10" i="41" s="1"/>
  <c r="I86" i="41"/>
  <c r="I85" i="41" s="1"/>
  <c r="V83" i="39"/>
  <c r="I76" i="39"/>
  <c r="S66" i="39"/>
  <c r="S70" i="41" s="1"/>
  <c r="T69" i="39"/>
  <c r="T73" i="41" s="1"/>
  <c r="V47" i="41"/>
  <c r="V41" i="41"/>
  <c r="V38" i="39"/>
  <c r="S60" i="39"/>
  <c r="S64" i="41" s="1"/>
  <c r="S70" i="39"/>
  <c r="I20" i="41"/>
  <c r="V24" i="39"/>
  <c r="I37" i="41"/>
  <c r="S56" i="39"/>
  <c r="S60" i="41" s="1"/>
  <c r="V26" i="41"/>
  <c r="V39" i="39"/>
  <c r="V56" i="40"/>
  <c r="R108" i="28" s="1"/>
  <c r="S58" i="39"/>
  <c r="S62" i="41" s="1"/>
  <c r="V79" i="39"/>
  <c r="V80" i="39"/>
  <c r="V42" i="39"/>
  <c r="V49" i="39"/>
  <c r="V51" i="39"/>
  <c r="V11" i="39"/>
  <c r="V82" i="41"/>
  <c r="V27" i="41"/>
  <c r="V83" i="41"/>
  <c r="V38" i="41"/>
  <c r="V18" i="39"/>
  <c r="S65" i="39"/>
  <c r="T89" i="39"/>
  <c r="T96" i="39" s="1"/>
  <c r="T103" i="39" s="1"/>
  <c r="T110" i="39" s="1"/>
  <c r="V66" i="40"/>
  <c r="R41" i="28" s="1"/>
  <c r="V23" i="39"/>
  <c r="S89" i="39"/>
  <c r="S96" i="39" s="1"/>
  <c r="S103" i="39" s="1"/>
  <c r="S110" i="39" s="1"/>
  <c r="S69" i="39"/>
  <c r="S73" i="41" s="1"/>
  <c r="V80" i="41"/>
  <c r="I83" i="39"/>
  <c r="AB110" i="28" s="1"/>
  <c r="I78" i="39"/>
  <c r="V16" i="41"/>
  <c r="V75" i="39"/>
  <c r="V32" i="39"/>
  <c r="I59" i="40"/>
  <c r="I70" i="40"/>
  <c r="V43" i="39"/>
  <c r="I63" i="40"/>
  <c r="V20" i="39"/>
  <c r="S71" i="39"/>
  <c r="S75" i="41" s="1"/>
  <c r="T65" i="39"/>
  <c r="T69" i="41" s="1"/>
  <c r="T66" i="39"/>
  <c r="I39" i="39"/>
  <c r="I79" i="39"/>
  <c r="V76" i="39"/>
  <c r="T92" i="39"/>
  <c r="T99" i="39" s="1"/>
  <c r="T106" i="39" s="1"/>
  <c r="T113" i="39" s="1"/>
  <c r="I74" i="39"/>
  <c r="I80" i="39"/>
  <c r="I23" i="39"/>
  <c r="S64" i="39"/>
  <c r="S68" i="41" s="1"/>
  <c r="T90" i="40"/>
  <c r="T97" i="40" s="1"/>
  <c r="T104" i="40" s="1"/>
  <c r="T111" i="40" s="1"/>
  <c r="V72" i="39"/>
  <c r="R128" i="28"/>
  <c r="I75" i="39"/>
  <c r="V77" i="40"/>
  <c r="R123" i="28"/>
  <c r="I71" i="40"/>
  <c r="I64" i="40"/>
  <c r="R116" i="28"/>
  <c r="V81" i="40"/>
  <c r="I52" i="39"/>
  <c r="R99" i="40"/>
  <c r="V92" i="40"/>
  <c r="R111" i="28"/>
  <c r="X83" i="40"/>
  <c r="T71" i="39"/>
  <c r="T75" i="41" s="1"/>
  <c r="R126" i="28"/>
  <c r="W77" i="40"/>
  <c r="I18" i="39"/>
  <c r="I37" i="39"/>
  <c r="I77" i="40"/>
  <c r="R119" i="28"/>
  <c r="W81" i="40"/>
  <c r="I73" i="40"/>
  <c r="I45" i="39"/>
  <c r="I34" i="39"/>
  <c r="I35" i="40"/>
  <c r="W37" i="39"/>
  <c r="X8" i="40"/>
  <c r="I43" i="39"/>
  <c r="I46" i="39"/>
  <c r="I33" i="39"/>
  <c r="I19" i="39"/>
  <c r="I8" i="39"/>
  <c r="I20" i="39"/>
  <c r="I72" i="39"/>
  <c r="V45" i="39"/>
  <c r="W5" i="39"/>
  <c r="V34" i="39"/>
  <c r="I14" i="39"/>
  <c r="R89" i="28"/>
  <c r="V4" i="39"/>
  <c r="R89" i="39"/>
  <c r="R96" i="39" s="1"/>
  <c r="R103" i="39" s="1"/>
  <c r="R110" i="39" s="1"/>
  <c r="X9" i="40"/>
  <c r="I38" i="39"/>
  <c r="I11" i="39"/>
  <c r="I47" i="40"/>
  <c r="V33" i="39"/>
  <c r="W18" i="39"/>
  <c r="I44" i="39"/>
  <c r="I49" i="39"/>
  <c r="I4" i="39"/>
  <c r="I24" i="39"/>
  <c r="I32" i="39"/>
  <c r="V13" i="40"/>
  <c r="R19" i="28" s="1"/>
  <c r="I12" i="39"/>
  <c r="I50" i="39"/>
  <c r="W13" i="40"/>
  <c r="R20" i="28" s="1"/>
  <c r="W23" i="39"/>
  <c r="R97" i="40"/>
  <c r="I25" i="39"/>
  <c r="V50" i="39"/>
  <c r="W24" i="39"/>
  <c r="I9" i="39"/>
  <c r="R98" i="28"/>
  <c r="I40" i="40"/>
  <c r="V29" i="39"/>
  <c r="V30" i="39" s="1"/>
  <c r="I29" i="39"/>
  <c r="I28" i="39" s="1"/>
  <c r="R86" i="28"/>
  <c r="W47" i="40"/>
  <c r="W16" i="40"/>
  <c r="R16" i="28" s="1"/>
  <c r="R59" i="28"/>
  <c r="X30" i="40"/>
  <c r="R53" i="28"/>
  <c r="W73" i="40"/>
  <c r="I13" i="40"/>
  <c r="V16" i="40"/>
  <c r="R15" i="28" s="1"/>
  <c r="R93" i="28"/>
  <c r="V54" i="40"/>
  <c r="I53" i="39"/>
  <c r="I42" i="39"/>
  <c r="W60" i="40"/>
  <c r="U60" i="39"/>
  <c r="U64" i="41" s="1"/>
  <c r="W64" i="41" s="1"/>
  <c r="V46" i="39"/>
  <c r="I10" i="40"/>
  <c r="R96" i="28"/>
  <c r="W54" i="40"/>
  <c r="V27" i="39"/>
  <c r="V28" i="39" s="1"/>
  <c r="I27" i="39"/>
  <c r="I26" i="39" s="1"/>
  <c r="I30" i="40"/>
  <c r="R25" i="28"/>
  <c r="V21" i="40"/>
  <c r="R75" i="28"/>
  <c r="V40" i="40"/>
  <c r="R50" i="28"/>
  <c r="V44" i="39"/>
  <c r="V52" i="39"/>
  <c r="I15" i="39"/>
  <c r="R67" i="28"/>
  <c r="V35" i="40"/>
  <c r="R83" i="28"/>
  <c r="V47" i="40"/>
  <c r="R99" i="28"/>
  <c r="I60" i="40"/>
  <c r="R70" i="28"/>
  <c r="W35" i="40"/>
  <c r="R44" i="28"/>
  <c r="W67" i="40"/>
  <c r="R78" i="28"/>
  <c r="W40" i="40"/>
  <c r="I16" i="40"/>
  <c r="I51" i="39"/>
  <c r="U89" i="39"/>
  <c r="R88" i="28"/>
  <c r="R36" i="28"/>
  <c r="W26" i="40"/>
  <c r="R96" i="40"/>
  <c r="V89" i="40"/>
  <c r="R63" i="28"/>
  <c r="X28" i="40"/>
  <c r="R33" i="28"/>
  <c r="V26" i="40"/>
  <c r="X4" i="40"/>
  <c r="R28" i="28"/>
  <c r="W21" i="40"/>
  <c r="I21" i="40"/>
  <c r="L96" i="39"/>
  <c r="L103" i="39" s="1"/>
  <c r="L110" i="39" s="1"/>
  <c r="K96" i="39"/>
  <c r="K103" i="39" s="1"/>
  <c r="K110" i="39" s="1"/>
  <c r="P96" i="39"/>
  <c r="P103" i="39" s="1"/>
  <c r="P110" i="39" s="1"/>
  <c r="J103" i="39"/>
  <c r="O96" i="39"/>
  <c r="O103" i="39" s="1"/>
  <c r="O110" i="39" s="1"/>
  <c r="N96" i="39"/>
  <c r="N103" i="39" s="1"/>
  <c r="N110" i="39" s="1"/>
  <c r="S132" i="28"/>
  <c r="T132" i="28" s="1"/>
  <c r="U132" i="28" s="1"/>
  <c r="V132" i="28" s="1"/>
  <c r="V90" i="33"/>
  <c r="X56" i="37"/>
  <c r="V34" i="41" l="1"/>
  <c r="T58" i="28"/>
  <c r="U58" i="28" s="1"/>
  <c r="V58" i="28" s="1"/>
  <c r="U93" i="41"/>
  <c r="U100" i="41" s="1"/>
  <c r="U107" i="41" s="1"/>
  <c r="I12" i="41"/>
  <c r="I16" i="41"/>
  <c r="I41" i="41"/>
  <c r="I60" i="41"/>
  <c r="I5" i="41"/>
  <c r="T13" i="28" s="1"/>
  <c r="X28" i="39"/>
  <c r="I47" i="41"/>
  <c r="I57" i="41"/>
  <c r="I78" i="41"/>
  <c r="V73" i="41"/>
  <c r="I13" i="41"/>
  <c r="W18" i="41"/>
  <c r="W13" i="39"/>
  <c r="I61" i="40"/>
  <c r="I80" i="41"/>
  <c r="I36" i="41"/>
  <c r="X30" i="39"/>
  <c r="I48" i="41"/>
  <c r="W77" i="39"/>
  <c r="W16" i="39"/>
  <c r="I50" i="41"/>
  <c r="I79" i="41"/>
  <c r="I49" i="41"/>
  <c r="W81" i="39"/>
  <c r="I38" i="41"/>
  <c r="I70" i="39"/>
  <c r="S74" i="41"/>
  <c r="U96" i="41"/>
  <c r="U117" i="41" s="1"/>
  <c r="W87" i="41"/>
  <c r="I42" i="41"/>
  <c r="W81" i="41"/>
  <c r="I54" i="41"/>
  <c r="I55" i="41"/>
  <c r="X31" i="41"/>
  <c r="I30" i="41"/>
  <c r="I22" i="41"/>
  <c r="I27" i="41"/>
  <c r="I65" i="39"/>
  <c r="S69" i="41"/>
  <c r="I56" i="41"/>
  <c r="I53" i="41"/>
  <c r="I82" i="41"/>
  <c r="W33" i="41"/>
  <c r="C14" i="30"/>
  <c r="I84" i="41"/>
  <c r="I4" i="41"/>
  <c r="W4" i="41"/>
  <c r="X4" i="41" s="1"/>
  <c r="I83" i="41"/>
  <c r="R96" i="41"/>
  <c r="V87" i="41"/>
  <c r="I87" i="41"/>
  <c r="V66" i="39"/>
  <c r="T70" i="41"/>
  <c r="I70" i="41" s="1"/>
  <c r="I21" i="41"/>
  <c r="V60" i="41"/>
  <c r="I46" i="41"/>
  <c r="I76" i="41"/>
  <c r="W85" i="41"/>
  <c r="X83" i="39"/>
  <c r="W14" i="41"/>
  <c r="I17" i="41"/>
  <c r="I66" i="39"/>
  <c r="V16" i="39"/>
  <c r="V81" i="39"/>
  <c r="V14" i="41"/>
  <c r="V18" i="41"/>
  <c r="V63" i="39"/>
  <c r="I59" i="39"/>
  <c r="V60" i="39"/>
  <c r="V65" i="39"/>
  <c r="V92" i="39"/>
  <c r="V58" i="39"/>
  <c r="I77" i="39"/>
  <c r="V56" i="39"/>
  <c r="I54" i="40"/>
  <c r="V81" i="41"/>
  <c r="I56" i="39"/>
  <c r="V69" i="39"/>
  <c r="I67" i="40"/>
  <c r="V77" i="39"/>
  <c r="I58" i="39"/>
  <c r="V71" i="39"/>
  <c r="V73" i="40"/>
  <c r="X73" i="40" s="1"/>
  <c r="V13" i="39"/>
  <c r="I69" i="39"/>
  <c r="V61" i="40"/>
  <c r="V90" i="40"/>
  <c r="X77" i="40"/>
  <c r="V57" i="39"/>
  <c r="I63" i="39"/>
  <c r="X81" i="40"/>
  <c r="V59" i="39"/>
  <c r="V85" i="41"/>
  <c r="V67" i="41"/>
  <c r="I67" i="41"/>
  <c r="V68" i="41"/>
  <c r="I68" i="41"/>
  <c r="I57" i="39"/>
  <c r="I63" i="41"/>
  <c r="V63" i="41"/>
  <c r="V61" i="41"/>
  <c r="I61" i="41"/>
  <c r="I73" i="41"/>
  <c r="V62" i="41"/>
  <c r="I62" i="41"/>
  <c r="I64" i="41"/>
  <c r="V64" i="41"/>
  <c r="V70" i="39"/>
  <c r="V75" i="41"/>
  <c r="I75" i="41"/>
  <c r="V67" i="40"/>
  <c r="X67" i="40" s="1"/>
  <c r="I73" i="39"/>
  <c r="X10" i="40"/>
  <c r="R106" i="40"/>
  <c r="V99" i="40"/>
  <c r="I71" i="39"/>
  <c r="V64" i="39"/>
  <c r="I64" i="39"/>
  <c r="X4" i="39"/>
  <c r="V89" i="39"/>
  <c r="X17" i="40"/>
  <c r="I10" i="39"/>
  <c r="AB18" i="28" s="1"/>
  <c r="X54" i="40"/>
  <c r="AB11" i="28"/>
  <c r="I13" i="39"/>
  <c r="X40" i="40"/>
  <c r="U96" i="39"/>
  <c r="U103" i="39" s="1"/>
  <c r="U110" i="39" s="1"/>
  <c r="AB60" i="28"/>
  <c r="X35" i="40"/>
  <c r="AB56" i="28"/>
  <c r="X26" i="40"/>
  <c r="I60" i="39"/>
  <c r="W60" i="39"/>
  <c r="R106" i="28"/>
  <c r="W61" i="40"/>
  <c r="R103" i="40"/>
  <c r="V96" i="40"/>
  <c r="X47" i="40"/>
  <c r="R104" i="40"/>
  <c r="V97" i="40"/>
  <c r="X10" i="39"/>
  <c r="V99" i="39"/>
  <c r="J89" i="33"/>
  <c r="V83" i="37"/>
  <c r="V4" i="33"/>
  <c r="W82" i="37"/>
  <c r="W83" i="37"/>
  <c r="V50" i="33"/>
  <c r="V50" i="37"/>
  <c r="V52" i="33"/>
  <c r="V52" i="37"/>
  <c r="V82" i="33"/>
  <c r="V83" i="33"/>
  <c r="I14" i="41" l="1"/>
  <c r="I10" i="41"/>
  <c r="C9" i="30" s="1"/>
  <c r="I28" i="41"/>
  <c r="C15" i="30" s="1"/>
  <c r="C7" i="30"/>
  <c r="T12" i="28"/>
  <c r="V100" i="41"/>
  <c r="W34" i="41"/>
  <c r="X34" i="41" s="1"/>
  <c r="T59" i="28"/>
  <c r="V93" i="41"/>
  <c r="X81" i="41"/>
  <c r="X81" i="39"/>
  <c r="X77" i="39"/>
  <c r="I77" i="41"/>
  <c r="C22" i="30" s="1"/>
  <c r="X87" i="41"/>
  <c r="I81" i="41"/>
  <c r="C21" i="30" s="1"/>
  <c r="X85" i="41"/>
  <c r="V70" i="41"/>
  <c r="I69" i="41"/>
  <c r="V69" i="41"/>
  <c r="V74" i="41"/>
  <c r="I74" i="41"/>
  <c r="V96" i="41"/>
  <c r="X61" i="40"/>
  <c r="AB113" i="28"/>
  <c r="S114" i="41"/>
  <c r="U114" i="41"/>
  <c r="R114" i="41"/>
  <c r="AB120" i="28"/>
  <c r="R113" i="40"/>
  <c r="V113" i="40" s="1"/>
  <c r="V106" i="40"/>
  <c r="AB14" i="28"/>
  <c r="V96" i="39"/>
  <c r="R110" i="40"/>
  <c r="V110" i="40" s="1"/>
  <c r="V103" i="40"/>
  <c r="R111" i="40"/>
  <c r="V111" i="40" s="1"/>
  <c r="V104" i="40"/>
  <c r="V103" i="39"/>
  <c r="J110" i="39"/>
  <c r="V110" i="39" s="1"/>
  <c r="J113" i="39"/>
  <c r="V113" i="39" s="1"/>
  <c r="V106" i="39"/>
  <c r="U92" i="33"/>
  <c r="W83" i="33"/>
  <c r="I83" i="33"/>
  <c r="D16" i="30"/>
  <c r="C8" i="30" l="1"/>
  <c r="V103" i="41"/>
  <c r="T114" i="41"/>
  <c r="V107" i="41"/>
  <c r="V125" i="36"/>
  <c r="V117" i="36"/>
  <c r="V109" i="36"/>
  <c r="X56" i="36"/>
  <c r="V110" i="41" l="1"/>
  <c r="R117" i="41"/>
  <c r="V117" i="41" s="1"/>
  <c r="V114" i="41"/>
  <c r="W55" i="36"/>
  <c r="W56" i="36"/>
  <c r="W9" i="36"/>
  <c r="W19" i="36"/>
  <c r="W36" i="36"/>
  <c r="W38" i="36"/>
  <c r="W43" i="36"/>
  <c r="W44" i="36"/>
  <c r="W45" i="36"/>
  <c r="I66" i="36"/>
  <c r="I70" i="36"/>
  <c r="I72" i="36"/>
  <c r="I75" i="36"/>
  <c r="I63" i="36"/>
  <c r="I50" i="36"/>
  <c r="I5" i="36"/>
  <c r="I49" i="36"/>
  <c r="I52" i="36"/>
  <c r="I32" i="36"/>
  <c r="V12" i="36"/>
  <c r="V20" i="36"/>
  <c r="V25" i="36"/>
  <c r="V29" i="36"/>
  <c r="V30" i="36" s="1"/>
  <c r="V36" i="36"/>
  <c r="V42" i="36"/>
  <c r="V55" i="36"/>
  <c r="V57" i="36"/>
  <c r="V64" i="36"/>
  <c r="V66" i="36"/>
  <c r="V71" i="36"/>
  <c r="V75" i="36"/>
  <c r="V76" i="36"/>
  <c r="V79" i="36"/>
  <c r="V4" i="36"/>
  <c r="W27" i="36"/>
  <c r="W28" i="36" s="1"/>
  <c r="V31" i="36"/>
  <c r="W20" i="36"/>
  <c r="W15" i="36"/>
  <c r="W70" i="36"/>
  <c r="W74" i="36"/>
  <c r="I80" i="36"/>
  <c r="W53" i="36"/>
  <c r="V8" i="36"/>
  <c r="V41" i="36"/>
  <c r="W11" i="36"/>
  <c r="W80" i="36"/>
  <c r="V17" i="36"/>
  <c r="W18" i="36"/>
  <c r="W23" i="36"/>
  <c r="W49" i="36"/>
  <c r="W50" i="36"/>
  <c r="W51" i="36"/>
  <c r="W52" i="36"/>
  <c r="W63" i="36"/>
  <c r="W76" i="36"/>
  <c r="W78" i="36"/>
  <c r="W79" i="36"/>
  <c r="W82" i="36"/>
  <c r="I82" i="36"/>
  <c r="I81" i="36" s="1"/>
  <c r="W68" i="36"/>
  <c r="W69" i="36"/>
  <c r="V63" i="36"/>
  <c r="W66" i="36"/>
  <c r="W64" i="36"/>
  <c r="I62" i="36"/>
  <c r="W65" i="36"/>
  <c r="W48" i="36"/>
  <c r="V46" i="36"/>
  <c r="I46" i="36"/>
  <c r="W42" i="36"/>
  <c r="W41" i="36"/>
  <c r="I43" i="36"/>
  <c r="W46" i="36"/>
  <c r="W39" i="36"/>
  <c r="I39" i="36"/>
  <c r="W37" i="36"/>
  <c r="V32" i="36"/>
  <c r="W17" i="36"/>
  <c r="I18" i="36"/>
  <c r="W8" i="36"/>
  <c r="V3" i="36"/>
  <c r="V80" i="36"/>
  <c r="V78" i="36"/>
  <c r="I78" i="36"/>
  <c r="I74" i="36"/>
  <c r="V74" i="36"/>
  <c r="I76" i="36"/>
  <c r="W75" i="36"/>
  <c r="V70" i="36"/>
  <c r="I71" i="36"/>
  <c r="I69" i="36"/>
  <c r="W71" i="36"/>
  <c r="V69" i="36"/>
  <c r="V68" i="36"/>
  <c r="I68" i="36"/>
  <c r="W72" i="36"/>
  <c r="V72" i="36"/>
  <c r="V62" i="36"/>
  <c r="V65" i="36"/>
  <c r="I65" i="36"/>
  <c r="W59" i="36"/>
  <c r="W60" i="36"/>
  <c r="W58" i="36"/>
  <c r="V59" i="36"/>
  <c r="V58" i="36"/>
  <c r="W57" i="36"/>
  <c r="I58" i="36"/>
  <c r="I57" i="36"/>
  <c r="I56" i="36"/>
  <c r="I60" i="36"/>
  <c r="I55" i="36"/>
  <c r="I48" i="36"/>
  <c r="V53" i="36"/>
  <c r="I51" i="36"/>
  <c r="I53" i="36"/>
  <c r="V48" i="36"/>
  <c r="V51" i="36"/>
  <c r="V49" i="36"/>
  <c r="I42" i="36"/>
  <c r="I45" i="36"/>
  <c r="I41" i="36"/>
  <c r="V44" i="36"/>
  <c r="V45" i="36"/>
  <c r="I44" i="36"/>
  <c r="V43" i="36"/>
  <c r="V39" i="36"/>
  <c r="I38" i="36"/>
  <c r="I37" i="36"/>
  <c r="V37" i="36"/>
  <c r="I36" i="36"/>
  <c r="W34" i="36"/>
  <c r="V34" i="36"/>
  <c r="W33" i="36"/>
  <c r="W31" i="36"/>
  <c r="I31" i="36"/>
  <c r="V33" i="36"/>
  <c r="I33" i="36"/>
  <c r="W32" i="36"/>
  <c r="W29" i="36"/>
  <c r="W30" i="36" s="1"/>
  <c r="I29" i="36"/>
  <c r="I28" i="36" s="1"/>
  <c r="V27" i="36"/>
  <c r="V28" i="36" s="1"/>
  <c r="I22" i="36"/>
  <c r="I23" i="36"/>
  <c r="W22" i="36"/>
  <c r="I25" i="36"/>
  <c r="W25" i="36"/>
  <c r="W24" i="36"/>
  <c r="I24" i="36"/>
  <c r="I20" i="36"/>
  <c r="V18" i="36"/>
  <c r="I17" i="36"/>
  <c r="V19" i="36"/>
  <c r="I19" i="36"/>
  <c r="V15" i="36"/>
  <c r="I15" i="36"/>
  <c r="W12" i="36"/>
  <c r="I11" i="36"/>
  <c r="V9" i="36"/>
  <c r="W7" i="36"/>
  <c r="I9" i="36"/>
  <c r="V7" i="36"/>
  <c r="V5" i="36"/>
  <c r="I83" i="36"/>
  <c r="I79" i="36"/>
  <c r="I64" i="36"/>
  <c r="W62" i="36"/>
  <c r="I59" i="36"/>
  <c r="V60" i="36"/>
  <c r="V56" i="36"/>
  <c r="V38" i="36"/>
  <c r="I34" i="36"/>
  <c r="I27" i="36"/>
  <c r="I26" i="36" s="1"/>
  <c r="V24" i="36"/>
  <c r="V23" i="36"/>
  <c r="V22" i="36"/>
  <c r="V14" i="36"/>
  <c r="V11" i="36"/>
  <c r="I7" i="36"/>
  <c r="I8" i="36"/>
  <c r="W5" i="36"/>
  <c r="W4" i="36"/>
  <c r="I4" i="36"/>
  <c r="I12" i="36"/>
  <c r="W13" i="36" l="1"/>
  <c r="X28" i="36"/>
  <c r="X30" i="36"/>
  <c r="I77" i="36"/>
  <c r="X9" i="36"/>
  <c r="W40" i="36"/>
  <c r="X83" i="36"/>
  <c r="W21" i="36"/>
  <c r="V77" i="36"/>
  <c r="W26" i="36"/>
  <c r="V47" i="36"/>
  <c r="V10" i="36"/>
  <c r="V13" i="36"/>
  <c r="W10" i="36"/>
  <c r="W54" i="36"/>
  <c r="W81" i="36"/>
  <c r="V88" i="36"/>
  <c r="I47" i="36"/>
  <c r="I21" i="36"/>
  <c r="V21" i="36"/>
  <c r="W77" i="36"/>
  <c r="X8" i="36"/>
  <c r="I30" i="36"/>
  <c r="I67" i="36"/>
  <c r="W35" i="36"/>
  <c r="W47" i="36"/>
  <c r="I16" i="36"/>
  <c r="V6" i="36"/>
  <c r="W67" i="36"/>
  <c r="V16" i="36"/>
  <c r="V81" i="36"/>
  <c r="V73" i="36"/>
  <c r="W73" i="36"/>
  <c r="V67" i="36"/>
  <c r="W61" i="36"/>
  <c r="I40" i="36"/>
  <c r="I35" i="36"/>
  <c r="V35" i="36"/>
  <c r="Z3" i="36"/>
  <c r="I73" i="36"/>
  <c r="I61" i="36"/>
  <c r="I54" i="36"/>
  <c r="V54" i="36"/>
  <c r="V40" i="36"/>
  <c r="V26" i="36"/>
  <c r="I10" i="36"/>
  <c r="I6" i="36"/>
  <c r="X7" i="36"/>
  <c r="X4" i="36"/>
  <c r="V61" i="36"/>
  <c r="V108" i="36"/>
  <c r="V97" i="36"/>
  <c r="X77" i="36" l="1"/>
  <c r="X10" i="36"/>
  <c r="X17" i="36"/>
  <c r="X81" i="36"/>
  <c r="X40" i="36"/>
  <c r="X73" i="36"/>
  <c r="X26" i="36"/>
  <c r="X54" i="36"/>
  <c r="X47" i="36"/>
  <c r="X35" i="36"/>
  <c r="X67" i="36"/>
  <c r="X61" i="36"/>
  <c r="V107" i="36" l="1"/>
  <c r="V116" i="36"/>
  <c r="V124" i="36" l="1"/>
  <c r="V115" i="36"/>
  <c r="V123" i="36" l="1"/>
  <c r="D9" i="30" l="1"/>
  <c r="D8" i="30"/>
  <c r="D10" i="30"/>
  <c r="D11" i="30"/>
  <c r="D15" i="30"/>
  <c r="D14" i="30"/>
  <c r="D17" i="30"/>
  <c r="D18" i="30"/>
  <c r="D19" i="30"/>
  <c r="D20" i="30"/>
  <c r="D13" i="30"/>
  <c r="D22" i="30"/>
  <c r="D21" i="30"/>
  <c r="D25" i="30" l="1"/>
  <c r="X56" i="35"/>
  <c r="O92" i="34"/>
  <c r="J3" i="34"/>
  <c r="J3" i="35" s="1"/>
  <c r="P91" i="35" l="1"/>
  <c r="P98" i="35" s="1"/>
  <c r="P105" i="35" s="1"/>
  <c r="U83" i="34"/>
  <c r="U83" i="35" s="1"/>
  <c r="U91" i="35" s="1"/>
  <c r="U98" i="35" s="1"/>
  <c r="U105" i="35" s="1"/>
  <c r="T83" i="34"/>
  <c r="T83" i="35" s="1"/>
  <c r="T91" i="35" s="1"/>
  <c r="T98" i="35" s="1"/>
  <c r="T105" i="35" s="1"/>
  <c r="S83" i="34"/>
  <c r="S83" i="35" s="1"/>
  <c r="S91" i="35" s="1"/>
  <c r="S98" i="35" s="1"/>
  <c r="S105" i="35" s="1"/>
  <c r="R83" i="34"/>
  <c r="R83" i="35" s="1"/>
  <c r="R91" i="35" s="1"/>
  <c r="R98" i="35" s="1"/>
  <c r="R105" i="35" s="1"/>
  <c r="Q83" i="34"/>
  <c r="Q83" i="35" s="1"/>
  <c r="Q91" i="35" s="1"/>
  <c r="Q98" i="35" s="1"/>
  <c r="Q105" i="35" s="1"/>
  <c r="P83" i="34"/>
  <c r="P83" i="35" s="1"/>
  <c r="O83" i="34"/>
  <c r="O83" i="35" s="1"/>
  <c r="O91" i="35" s="1"/>
  <c r="O98" i="35" s="1"/>
  <c r="O105" i="35" s="1"/>
  <c r="N83" i="34"/>
  <c r="N83" i="35" s="1"/>
  <c r="N91" i="35" s="1"/>
  <c r="N98" i="35" s="1"/>
  <c r="N105" i="35" s="1"/>
  <c r="M83" i="34"/>
  <c r="M83" i="35" s="1"/>
  <c r="M91" i="35" s="1"/>
  <c r="M98" i="35" s="1"/>
  <c r="M105" i="35" s="1"/>
  <c r="L83" i="34"/>
  <c r="L83" i="35" s="1"/>
  <c r="L91" i="35" s="1"/>
  <c r="L98" i="35" s="1"/>
  <c r="L105" i="35" s="1"/>
  <c r="K83" i="34"/>
  <c r="K83" i="35" s="1"/>
  <c r="K91" i="35" s="1"/>
  <c r="K98" i="35" s="1"/>
  <c r="K105" i="35" s="1"/>
  <c r="J83" i="34"/>
  <c r="J83" i="35" s="1"/>
  <c r="J91" i="35" s="1"/>
  <c r="J98" i="35" s="1"/>
  <c r="J105" i="35" s="1"/>
  <c r="U82" i="34"/>
  <c r="U82" i="35" s="1"/>
  <c r="T82" i="34"/>
  <c r="T82" i="35" s="1"/>
  <c r="S82" i="34"/>
  <c r="S82" i="35" s="1"/>
  <c r="R82" i="34"/>
  <c r="R82" i="35" s="1"/>
  <c r="Q82" i="34"/>
  <c r="Q82" i="35" s="1"/>
  <c r="P82" i="34"/>
  <c r="P82" i="35" s="1"/>
  <c r="O82" i="34"/>
  <c r="O82" i="35" s="1"/>
  <c r="N82" i="34"/>
  <c r="N82" i="35" s="1"/>
  <c r="M82" i="34"/>
  <c r="M82" i="35" s="1"/>
  <c r="L82" i="34"/>
  <c r="L82" i="35" s="1"/>
  <c r="K82" i="34"/>
  <c r="K82" i="35" s="1"/>
  <c r="J82" i="34"/>
  <c r="J82" i="35" s="1"/>
  <c r="U80" i="34"/>
  <c r="U80" i="35" s="1"/>
  <c r="T80" i="34"/>
  <c r="T80" i="35" s="1"/>
  <c r="S80" i="34"/>
  <c r="S80" i="35" s="1"/>
  <c r="R80" i="34"/>
  <c r="R80" i="35" s="1"/>
  <c r="Q80" i="34"/>
  <c r="Q80" i="35" s="1"/>
  <c r="P80" i="34"/>
  <c r="P80" i="35" s="1"/>
  <c r="O80" i="34"/>
  <c r="O80" i="35" s="1"/>
  <c r="N80" i="34"/>
  <c r="N80" i="35" s="1"/>
  <c r="M80" i="34"/>
  <c r="M80" i="35" s="1"/>
  <c r="L80" i="34"/>
  <c r="L80" i="35" s="1"/>
  <c r="K80" i="34"/>
  <c r="K80" i="35" s="1"/>
  <c r="J80" i="34"/>
  <c r="J80" i="35" s="1"/>
  <c r="U79" i="34"/>
  <c r="U79" i="35" s="1"/>
  <c r="T79" i="34"/>
  <c r="T79" i="35" s="1"/>
  <c r="S79" i="34"/>
  <c r="S79" i="35" s="1"/>
  <c r="R79" i="34"/>
  <c r="R79" i="35" s="1"/>
  <c r="Q79" i="34"/>
  <c r="Q79" i="35" s="1"/>
  <c r="P79" i="34"/>
  <c r="P79" i="35" s="1"/>
  <c r="O79" i="34"/>
  <c r="O79" i="35" s="1"/>
  <c r="N79" i="34"/>
  <c r="N79" i="35" s="1"/>
  <c r="M79" i="34"/>
  <c r="M79" i="35" s="1"/>
  <c r="L79" i="34"/>
  <c r="L79" i="35" s="1"/>
  <c r="K79" i="34"/>
  <c r="K79" i="35" s="1"/>
  <c r="J79" i="34"/>
  <c r="J79" i="35" s="1"/>
  <c r="U78" i="34"/>
  <c r="U78" i="35" s="1"/>
  <c r="T78" i="34"/>
  <c r="T78" i="35" s="1"/>
  <c r="S78" i="34"/>
  <c r="S78" i="35" s="1"/>
  <c r="R78" i="34"/>
  <c r="R78" i="35" s="1"/>
  <c r="Q78" i="34"/>
  <c r="Q78" i="35" s="1"/>
  <c r="P78" i="34"/>
  <c r="P78" i="35" s="1"/>
  <c r="O78" i="34"/>
  <c r="O78" i="35" s="1"/>
  <c r="N78" i="34"/>
  <c r="N78" i="35" s="1"/>
  <c r="M78" i="34"/>
  <c r="M78" i="35" s="1"/>
  <c r="L78" i="34"/>
  <c r="L78" i="35" s="1"/>
  <c r="V78" i="35" s="1"/>
  <c r="K78" i="34"/>
  <c r="K78" i="35" s="1"/>
  <c r="J78" i="34"/>
  <c r="J78" i="35" s="1"/>
  <c r="U76" i="34"/>
  <c r="U76" i="35" s="1"/>
  <c r="T76" i="34"/>
  <c r="T76" i="35" s="1"/>
  <c r="S76" i="34"/>
  <c r="S76" i="35" s="1"/>
  <c r="R76" i="34"/>
  <c r="R76" i="35" s="1"/>
  <c r="Q76" i="34"/>
  <c r="Q76" i="35" s="1"/>
  <c r="P76" i="34"/>
  <c r="P76" i="35" s="1"/>
  <c r="O76" i="34"/>
  <c r="O76" i="35" s="1"/>
  <c r="N76" i="34"/>
  <c r="N76" i="35" s="1"/>
  <c r="M76" i="34"/>
  <c r="M76" i="35" s="1"/>
  <c r="L76" i="34"/>
  <c r="L76" i="35" s="1"/>
  <c r="K76" i="34"/>
  <c r="K76" i="35" s="1"/>
  <c r="J76" i="34"/>
  <c r="J76" i="35" s="1"/>
  <c r="U75" i="34"/>
  <c r="U75" i="35" s="1"/>
  <c r="T75" i="34"/>
  <c r="T75" i="35" s="1"/>
  <c r="S75" i="34"/>
  <c r="S75" i="35" s="1"/>
  <c r="R75" i="34"/>
  <c r="R75" i="35" s="1"/>
  <c r="Q75" i="34"/>
  <c r="Q75" i="35" s="1"/>
  <c r="P75" i="34"/>
  <c r="P75" i="35" s="1"/>
  <c r="O75" i="34"/>
  <c r="O75" i="35" s="1"/>
  <c r="N75" i="34"/>
  <c r="N75" i="35" s="1"/>
  <c r="M75" i="34"/>
  <c r="M75" i="35" s="1"/>
  <c r="L75" i="34"/>
  <c r="L75" i="35" s="1"/>
  <c r="K75" i="34"/>
  <c r="K75" i="35" s="1"/>
  <c r="J75" i="34"/>
  <c r="J75" i="35" s="1"/>
  <c r="U74" i="34"/>
  <c r="U74" i="35" s="1"/>
  <c r="T74" i="34"/>
  <c r="T74" i="35" s="1"/>
  <c r="S74" i="34"/>
  <c r="S74" i="35" s="1"/>
  <c r="R74" i="34"/>
  <c r="R74" i="35" s="1"/>
  <c r="Q74" i="34"/>
  <c r="Q74" i="35" s="1"/>
  <c r="P74" i="34"/>
  <c r="P74" i="35" s="1"/>
  <c r="O74" i="34"/>
  <c r="O74" i="35" s="1"/>
  <c r="N74" i="34"/>
  <c r="N74" i="35" s="1"/>
  <c r="M74" i="34"/>
  <c r="M74" i="35" s="1"/>
  <c r="L74" i="34"/>
  <c r="L74" i="35" s="1"/>
  <c r="K74" i="34"/>
  <c r="K74" i="35" s="1"/>
  <c r="J74" i="34"/>
  <c r="J74" i="35" s="1"/>
  <c r="U72" i="34"/>
  <c r="U72" i="35" s="1"/>
  <c r="T72" i="34"/>
  <c r="T72" i="35" s="1"/>
  <c r="S72" i="34"/>
  <c r="S72" i="35" s="1"/>
  <c r="R72" i="34"/>
  <c r="R72" i="35" s="1"/>
  <c r="Q72" i="34"/>
  <c r="Q72" i="35" s="1"/>
  <c r="P72" i="34"/>
  <c r="P72" i="35" s="1"/>
  <c r="O72" i="34"/>
  <c r="O72" i="35" s="1"/>
  <c r="N72" i="34"/>
  <c r="N72" i="35" s="1"/>
  <c r="M72" i="34"/>
  <c r="M72" i="35" s="1"/>
  <c r="L72" i="34"/>
  <c r="L72" i="35" s="1"/>
  <c r="K72" i="34"/>
  <c r="K72" i="35" s="1"/>
  <c r="J72" i="34"/>
  <c r="J72" i="35" s="1"/>
  <c r="U71" i="34"/>
  <c r="U71" i="35" s="1"/>
  <c r="T71" i="34"/>
  <c r="T71" i="35" s="1"/>
  <c r="S71" i="34"/>
  <c r="S71" i="35" s="1"/>
  <c r="R71" i="34"/>
  <c r="R71" i="35" s="1"/>
  <c r="Q71" i="34"/>
  <c r="Q71" i="35" s="1"/>
  <c r="P71" i="34"/>
  <c r="P71" i="35" s="1"/>
  <c r="O71" i="34"/>
  <c r="O71" i="35" s="1"/>
  <c r="N71" i="34"/>
  <c r="N71" i="35" s="1"/>
  <c r="M71" i="34"/>
  <c r="M71" i="35" s="1"/>
  <c r="L71" i="34"/>
  <c r="L71" i="35" s="1"/>
  <c r="K71" i="34"/>
  <c r="K71" i="35" s="1"/>
  <c r="J71" i="34"/>
  <c r="J71" i="35" s="1"/>
  <c r="U70" i="34"/>
  <c r="U70" i="35" s="1"/>
  <c r="T70" i="34"/>
  <c r="T70" i="35" s="1"/>
  <c r="S70" i="34"/>
  <c r="S70" i="35" s="1"/>
  <c r="R70" i="34"/>
  <c r="R70" i="35" s="1"/>
  <c r="Q70" i="34"/>
  <c r="Q70" i="35" s="1"/>
  <c r="P70" i="34"/>
  <c r="P70" i="35" s="1"/>
  <c r="O70" i="34"/>
  <c r="O70" i="35" s="1"/>
  <c r="N70" i="34"/>
  <c r="N70" i="35" s="1"/>
  <c r="M70" i="34"/>
  <c r="M70" i="35" s="1"/>
  <c r="L70" i="34"/>
  <c r="L70" i="35" s="1"/>
  <c r="K70" i="34"/>
  <c r="K70" i="35" s="1"/>
  <c r="J70" i="34"/>
  <c r="J70" i="35" s="1"/>
  <c r="U69" i="34"/>
  <c r="U69" i="35" s="1"/>
  <c r="T69" i="34"/>
  <c r="T69" i="35" s="1"/>
  <c r="S69" i="34"/>
  <c r="S69" i="35" s="1"/>
  <c r="R69" i="34"/>
  <c r="R69" i="35" s="1"/>
  <c r="Q69" i="34"/>
  <c r="Q69" i="35" s="1"/>
  <c r="P69" i="34"/>
  <c r="P69" i="35" s="1"/>
  <c r="O69" i="34"/>
  <c r="O69" i="35" s="1"/>
  <c r="N69" i="34"/>
  <c r="N69" i="35" s="1"/>
  <c r="M69" i="34"/>
  <c r="M69" i="35" s="1"/>
  <c r="L69" i="34"/>
  <c r="L69" i="35" s="1"/>
  <c r="K69" i="34"/>
  <c r="K69" i="35" s="1"/>
  <c r="J69" i="34"/>
  <c r="J69" i="35" s="1"/>
  <c r="U66" i="34"/>
  <c r="U66" i="35" s="1"/>
  <c r="W66" i="35" s="1"/>
  <c r="T66" i="34"/>
  <c r="T66" i="35" s="1"/>
  <c r="S66" i="34"/>
  <c r="S66" i="35" s="1"/>
  <c r="R66" i="34"/>
  <c r="R66" i="35" s="1"/>
  <c r="Q66" i="34"/>
  <c r="Q66" i="35" s="1"/>
  <c r="P66" i="34"/>
  <c r="P66" i="35" s="1"/>
  <c r="O66" i="34"/>
  <c r="O66" i="35" s="1"/>
  <c r="N66" i="34"/>
  <c r="N66" i="35" s="1"/>
  <c r="M66" i="34"/>
  <c r="M66" i="35" s="1"/>
  <c r="L66" i="34"/>
  <c r="L66" i="35" s="1"/>
  <c r="K66" i="34"/>
  <c r="K66" i="35" s="1"/>
  <c r="J66" i="34"/>
  <c r="J66" i="35" s="1"/>
  <c r="U65" i="34"/>
  <c r="U65" i="35" s="1"/>
  <c r="T65" i="34"/>
  <c r="T65" i="35" s="1"/>
  <c r="S65" i="34"/>
  <c r="S65" i="35" s="1"/>
  <c r="R65" i="34"/>
  <c r="R65" i="35" s="1"/>
  <c r="Q65" i="34"/>
  <c r="Q65" i="35" s="1"/>
  <c r="P65" i="34"/>
  <c r="P65" i="35" s="1"/>
  <c r="O65" i="34"/>
  <c r="O65" i="35" s="1"/>
  <c r="N65" i="34"/>
  <c r="N65" i="35" s="1"/>
  <c r="M65" i="34"/>
  <c r="M65" i="35" s="1"/>
  <c r="L65" i="34"/>
  <c r="L65" i="35" s="1"/>
  <c r="K65" i="34"/>
  <c r="K65" i="35" s="1"/>
  <c r="J65" i="34"/>
  <c r="J65" i="35" s="1"/>
  <c r="U64" i="34"/>
  <c r="U64" i="35" s="1"/>
  <c r="T64" i="34"/>
  <c r="T64" i="35" s="1"/>
  <c r="S64" i="34"/>
  <c r="S64" i="35" s="1"/>
  <c r="R64" i="34"/>
  <c r="R64" i="35" s="1"/>
  <c r="Q64" i="34"/>
  <c r="Q64" i="35" s="1"/>
  <c r="P64" i="34"/>
  <c r="P64" i="35" s="1"/>
  <c r="O64" i="34"/>
  <c r="O64" i="35" s="1"/>
  <c r="N64" i="34"/>
  <c r="N64" i="35" s="1"/>
  <c r="M64" i="34"/>
  <c r="M64" i="35" s="1"/>
  <c r="L64" i="34"/>
  <c r="L64" i="35" s="1"/>
  <c r="K64" i="34"/>
  <c r="K64" i="35" s="1"/>
  <c r="J64" i="34"/>
  <c r="J64" i="35" s="1"/>
  <c r="U63" i="34"/>
  <c r="U63" i="35" s="1"/>
  <c r="T63" i="34"/>
  <c r="T63" i="35" s="1"/>
  <c r="S63" i="34"/>
  <c r="S63" i="35" s="1"/>
  <c r="R63" i="34"/>
  <c r="R63" i="35" s="1"/>
  <c r="Q63" i="34"/>
  <c r="Q63" i="35" s="1"/>
  <c r="P63" i="34"/>
  <c r="P63" i="35" s="1"/>
  <c r="O63" i="34"/>
  <c r="O63" i="35" s="1"/>
  <c r="N63" i="34"/>
  <c r="N63" i="35" s="1"/>
  <c r="M63" i="34"/>
  <c r="M63" i="35" s="1"/>
  <c r="L63" i="34"/>
  <c r="L63" i="35" s="1"/>
  <c r="K63" i="34"/>
  <c r="K63" i="35" s="1"/>
  <c r="J63" i="34"/>
  <c r="J63" i="35" s="1"/>
  <c r="U60" i="34"/>
  <c r="U60" i="35" s="1"/>
  <c r="T60" i="34"/>
  <c r="T60" i="35" s="1"/>
  <c r="S60" i="34"/>
  <c r="S60" i="35" s="1"/>
  <c r="R60" i="34"/>
  <c r="R60" i="35" s="1"/>
  <c r="Q60" i="34"/>
  <c r="Q60" i="35" s="1"/>
  <c r="P60" i="34"/>
  <c r="P60" i="35" s="1"/>
  <c r="O60" i="34"/>
  <c r="O60" i="35" s="1"/>
  <c r="N60" i="34"/>
  <c r="N60" i="35" s="1"/>
  <c r="M60" i="34"/>
  <c r="M60" i="35" s="1"/>
  <c r="L60" i="34"/>
  <c r="L60" i="35" s="1"/>
  <c r="K60" i="34"/>
  <c r="K60" i="35" s="1"/>
  <c r="J60" i="34"/>
  <c r="J60" i="35" s="1"/>
  <c r="U59" i="34"/>
  <c r="U59" i="35" s="1"/>
  <c r="T59" i="34"/>
  <c r="T59" i="35" s="1"/>
  <c r="S59" i="34"/>
  <c r="S59" i="35" s="1"/>
  <c r="R59" i="34"/>
  <c r="R59" i="35" s="1"/>
  <c r="Q59" i="34"/>
  <c r="Q59" i="35" s="1"/>
  <c r="P59" i="34"/>
  <c r="P59" i="35" s="1"/>
  <c r="O59" i="34"/>
  <c r="O59" i="35" s="1"/>
  <c r="N59" i="34"/>
  <c r="N59" i="35" s="1"/>
  <c r="M59" i="34"/>
  <c r="M59" i="35" s="1"/>
  <c r="L59" i="34"/>
  <c r="L59" i="35" s="1"/>
  <c r="K59" i="34"/>
  <c r="K59" i="35" s="1"/>
  <c r="J59" i="34"/>
  <c r="J59" i="35" s="1"/>
  <c r="U58" i="34"/>
  <c r="U58" i="35" s="1"/>
  <c r="W58" i="35" s="1"/>
  <c r="T58" i="34"/>
  <c r="T58" i="35" s="1"/>
  <c r="S58" i="34"/>
  <c r="S58" i="35" s="1"/>
  <c r="R58" i="34"/>
  <c r="R58" i="35" s="1"/>
  <c r="Q58" i="34"/>
  <c r="Q58" i="35" s="1"/>
  <c r="P58" i="34"/>
  <c r="P58" i="35" s="1"/>
  <c r="O58" i="34"/>
  <c r="O58" i="35" s="1"/>
  <c r="N58" i="34"/>
  <c r="N58" i="35" s="1"/>
  <c r="M58" i="34"/>
  <c r="M58" i="35" s="1"/>
  <c r="L58" i="34"/>
  <c r="L58" i="35" s="1"/>
  <c r="K58" i="34"/>
  <c r="K58" i="35" s="1"/>
  <c r="J58" i="34"/>
  <c r="J58" i="35" s="1"/>
  <c r="U57" i="34"/>
  <c r="U57" i="35" s="1"/>
  <c r="T57" i="34"/>
  <c r="T57" i="35" s="1"/>
  <c r="S57" i="34"/>
  <c r="S57" i="35" s="1"/>
  <c r="R57" i="34"/>
  <c r="R57" i="35" s="1"/>
  <c r="Q57" i="34"/>
  <c r="Q57" i="35" s="1"/>
  <c r="P57" i="34"/>
  <c r="P57" i="35" s="1"/>
  <c r="O57" i="34"/>
  <c r="O57" i="35" s="1"/>
  <c r="N57" i="34"/>
  <c r="N57" i="35" s="1"/>
  <c r="M57" i="34"/>
  <c r="M57" i="35" s="1"/>
  <c r="L57" i="34"/>
  <c r="L57" i="35" s="1"/>
  <c r="K57" i="34"/>
  <c r="K57" i="35" s="1"/>
  <c r="J57" i="34"/>
  <c r="J57" i="35" s="1"/>
  <c r="U56" i="34"/>
  <c r="U56" i="35" s="1"/>
  <c r="T56" i="34"/>
  <c r="T56" i="35" s="1"/>
  <c r="S56" i="34"/>
  <c r="S56" i="35" s="1"/>
  <c r="R56" i="34"/>
  <c r="R56" i="35" s="1"/>
  <c r="Q56" i="34"/>
  <c r="Q56" i="35" s="1"/>
  <c r="P56" i="34"/>
  <c r="P56" i="35" s="1"/>
  <c r="O56" i="34"/>
  <c r="O56" i="35" s="1"/>
  <c r="N56" i="34"/>
  <c r="N56" i="35" s="1"/>
  <c r="M56" i="34"/>
  <c r="M56" i="35" s="1"/>
  <c r="L56" i="34"/>
  <c r="L56" i="35" s="1"/>
  <c r="K56" i="34"/>
  <c r="K56" i="35" s="1"/>
  <c r="J56" i="34"/>
  <c r="J56" i="35" s="1"/>
  <c r="U53" i="34"/>
  <c r="U53" i="35" s="1"/>
  <c r="T53" i="34"/>
  <c r="T53" i="35" s="1"/>
  <c r="S53" i="34"/>
  <c r="S53" i="35" s="1"/>
  <c r="R53" i="34"/>
  <c r="R53" i="35" s="1"/>
  <c r="Q53" i="34"/>
  <c r="Q53" i="35" s="1"/>
  <c r="P53" i="34"/>
  <c r="P53" i="35" s="1"/>
  <c r="O53" i="34"/>
  <c r="O53" i="35" s="1"/>
  <c r="N53" i="34"/>
  <c r="N53" i="35" s="1"/>
  <c r="M53" i="34"/>
  <c r="M53" i="35" s="1"/>
  <c r="L53" i="34"/>
  <c r="L53" i="35" s="1"/>
  <c r="K53" i="34"/>
  <c r="K53" i="35" s="1"/>
  <c r="J53" i="34"/>
  <c r="J53" i="35" s="1"/>
  <c r="U52" i="34"/>
  <c r="U52" i="35" s="1"/>
  <c r="T52" i="34"/>
  <c r="T52" i="35" s="1"/>
  <c r="S52" i="34"/>
  <c r="S52" i="35" s="1"/>
  <c r="R52" i="34"/>
  <c r="R52" i="35" s="1"/>
  <c r="Q52" i="34"/>
  <c r="Q52" i="35" s="1"/>
  <c r="P52" i="34"/>
  <c r="P52" i="35" s="1"/>
  <c r="O52" i="34"/>
  <c r="O52" i="35" s="1"/>
  <c r="N52" i="34"/>
  <c r="N52" i="35" s="1"/>
  <c r="M52" i="34"/>
  <c r="M52" i="35" s="1"/>
  <c r="L52" i="34"/>
  <c r="L52" i="35" s="1"/>
  <c r="V52" i="35" s="1"/>
  <c r="K52" i="34"/>
  <c r="K52" i="35" s="1"/>
  <c r="J52" i="34"/>
  <c r="J52" i="35" s="1"/>
  <c r="U51" i="34"/>
  <c r="U51" i="35" s="1"/>
  <c r="T51" i="34"/>
  <c r="T51" i="35" s="1"/>
  <c r="S51" i="34"/>
  <c r="S51" i="35" s="1"/>
  <c r="R51" i="34"/>
  <c r="R51" i="35" s="1"/>
  <c r="Q51" i="34"/>
  <c r="Q51" i="35" s="1"/>
  <c r="P51" i="34"/>
  <c r="P51" i="35" s="1"/>
  <c r="O51" i="34"/>
  <c r="O51" i="35" s="1"/>
  <c r="N51" i="34"/>
  <c r="N51" i="35" s="1"/>
  <c r="M51" i="34"/>
  <c r="M51" i="35" s="1"/>
  <c r="L51" i="34"/>
  <c r="L51" i="35" s="1"/>
  <c r="V51" i="35" s="1"/>
  <c r="K51" i="34"/>
  <c r="K51" i="35" s="1"/>
  <c r="J51" i="34"/>
  <c r="J51" i="35" s="1"/>
  <c r="U50" i="34"/>
  <c r="U50" i="35" s="1"/>
  <c r="T50" i="34"/>
  <c r="T50" i="35" s="1"/>
  <c r="S50" i="34"/>
  <c r="S50" i="35" s="1"/>
  <c r="R50" i="34"/>
  <c r="R50" i="35" s="1"/>
  <c r="Q50" i="34"/>
  <c r="Q50" i="35" s="1"/>
  <c r="P50" i="34"/>
  <c r="P50" i="35" s="1"/>
  <c r="O50" i="34"/>
  <c r="O50" i="35" s="1"/>
  <c r="N50" i="34"/>
  <c r="N50" i="35" s="1"/>
  <c r="M50" i="34"/>
  <c r="M50" i="35" s="1"/>
  <c r="L50" i="34"/>
  <c r="L50" i="35" s="1"/>
  <c r="K50" i="34"/>
  <c r="K50" i="35" s="1"/>
  <c r="J50" i="34"/>
  <c r="J50" i="35" s="1"/>
  <c r="U49" i="34"/>
  <c r="U49" i="35" s="1"/>
  <c r="T49" i="34"/>
  <c r="T49" i="35" s="1"/>
  <c r="S49" i="34"/>
  <c r="S49" i="35" s="1"/>
  <c r="R49" i="34"/>
  <c r="R49" i="35" s="1"/>
  <c r="Q49" i="34"/>
  <c r="Q49" i="35" s="1"/>
  <c r="P49" i="34"/>
  <c r="P49" i="35" s="1"/>
  <c r="O49" i="34"/>
  <c r="O49" i="35" s="1"/>
  <c r="N49" i="34"/>
  <c r="N49" i="35" s="1"/>
  <c r="M49" i="34"/>
  <c r="M49" i="35" s="1"/>
  <c r="L49" i="34"/>
  <c r="L49" i="35" s="1"/>
  <c r="K49" i="34"/>
  <c r="K49" i="35" s="1"/>
  <c r="J49" i="34"/>
  <c r="J49" i="35" s="1"/>
  <c r="U46" i="34"/>
  <c r="U46" i="35" s="1"/>
  <c r="T46" i="34"/>
  <c r="T46" i="35" s="1"/>
  <c r="S46" i="34"/>
  <c r="S46" i="35" s="1"/>
  <c r="R46" i="34"/>
  <c r="R46" i="35" s="1"/>
  <c r="Q46" i="34"/>
  <c r="Q46" i="35" s="1"/>
  <c r="P46" i="34"/>
  <c r="P46" i="35" s="1"/>
  <c r="O46" i="34"/>
  <c r="O46" i="35" s="1"/>
  <c r="N46" i="34"/>
  <c r="N46" i="35" s="1"/>
  <c r="M46" i="34"/>
  <c r="M46" i="35" s="1"/>
  <c r="L46" i="34"/>
  <c r="L46" i="35" s="1"/>
  <c r="K46" i="34"/>
  <c r="K46" i="35" s="1"/>
  <c r="J46" i="34"/>
  <c r="J46" i="35" s="1"/>
  <c r="U45" i="34"/>
  <c r="U45" i="35" s="1"/>
  <c r="T45" i="34"/>
  <c r="T45" i="35" s="1"/>
  <c r="S45" i="34"/>
  <c r="S45" i="35" s="1"/>
  <c r="R45" i="34"/>
  <c r="R45" i="35" s="1"/>
  <c r="Q45" i="34"/>
  <c r="Q45" i="35" s="1"/>
  <c r="P45" i="34"/>
  <c r="P45" i="35" s="1"/>
  <c r="O45" i="34"/>
  <c r="O45" i="35" s="1"/>
  <c r="N45" i="34"/>
  <c r="N45" i="35" s="1"/>
  <c r="M45" i="34"/>
  <c r="M45" i="35" s="1"/>
  <c r="L45" i="34"/>
  <c r="L45" i="35" s="1"/>
  <c r="K45" i="34"/>
  <c r="K45" i="35" s="1"/>
  <c r="J45" i="34"/>
  <c r="J45" i="35" s="1"/>
  <c r="U44" i="34"/>
  <c r="U44" i="35" s="1"/>
  <c r="T44" i="34"/>
  <c r="T44" i="35" s="1"/>
  <c r="S44" i="34"/>
  <c r="S44" i="35" s="1"/>
  <c r="R44" i="34"/>
  <c r="R44" i="35" s="1"/>
  <c r="Q44" i="34"/>
  <c r="Q44" i="35" s="1"/>
  <c r="P44" i="34"/>
  <c r="P44" i="35" s="1"/>
  <c r="O44" i="34"/>
  <c r="O44" i="35" s="1"/>
  <c r="N44" i="34"/>
  <c r="N44" i="35" s="1"/>
  <c r="M44" i="34"/>
  <c r="M44" i="35" s="1"/>
  <c r="L44" i="34"/>
  <c r="L44" i="35" s="1"/>
  <c r="K44" i="34"/>
  <c r="K44" i="35" s="1"/>
  <c r="J44" i="34"/>
  <c r="J44" i="35" s="1"/>
  <c r="U43" i="34"/>
  <c r="U43" i="35" s="1"/>
  <c r="W43" i="35" s="1"/>
  <c r="T43" i="34"/>
  <c r="T43" i="35" s="1"/>
  <c r="S43" i="34"/>
  <c r="S43" i="35" s="1"/>
  <c r="R43" i="34"/>
  <c r="R43" i="35" s="1"/>
  <c r="Q43" i="34"/>
  <c r="Q43" i="35" s="1"/>
  <c r="P43" i="34"/>
  <c r="P43" i="35" s="1"/>
  <c r="O43" i="34"/>
  <c r="O43" i="35" s="1"/>
  <c r="N43" i="34"/>
  <c r="N43" i="35" s="1"/>
  <c r="M43" i="34"/>
  <c r="M43" i="35" s="1"/>
  <c r="L43" i="34"/>
  <c r="L43" i="35" s="1"/>
  <c r="K43" i="34"/>
  <c r="K43" i="35" s="1"/>
  <c r="J43" i="34"/>
  <c r="J43" i="35" s="1"/>
  <c r="U42" i="34"/>
  <c r="U42" i="35" s="1"/>
  <c r="T42" i="34"/>
  <c r="T42" i="35" s="1"/>
  <c r="S42" i="34"/>
  <c r="S42" i="35" s="1"/>
  <c r="R42" i="34"/>
  <c r="R42" i="35" s="1"/>
  <c r="Q42" i="34"/>
  <c r="Q42" i="35" s="1"/>
  <c r="P42" i="34"/>
  <c r="P42" i="35" s="1"/>
  <c r="O42" i="34"/>
  <c r="O42" i="35" s="1"/>
  <c r="N42" i="34"/>
  <c r="N42" i="35" s="1"/>
  <c r="M42" i="34"/>
  <c r="M42" i="35" s="1"/>
  <c r="L42" i="34"/>
  <c r="L42" i="35" s="1"/>
  <c r="V42" i="35" s="1"/>
  <c r="K42" i="34"/>
  <c r="K42" i="35" s="1"/>
  <c r="J42" i="34"/>
  <c r="J42" i="35" s="1"/>
  <c r="U39" i="34"/>
  <c r="U39" i="35" s="1"/>
  <c r="T39" i="34"/>
  <c r="T39" i="35" s="1"/>
  <c r="S39" i="34"/>
  <c r="S39" i="35" s="1"/>
  <c r="R39" i="34"/>
  <c r="R39" i="35" s="1"/>
  <c r="Q39" i="34"/>
  <c r="Q39" i="35" s="1"/>
  <c r="P39" i="34"/>
  <c r="P39" i="35" s="1"/>
  <c r="O39" i="34"/>
  <c r="O39" i="35" s="1"/>
  <c r="N39" i="34"/>
  <c r="N39" i="35" s="1"/>
  <c r="M39" i="34"/>
  <c r="M39" i="35" s="1"/>
  <c r="L39" i="34"/>
  <c r="L39" i="35" s="1"/>
  <c r="K39" i="34"/>
  <c r="K39" i="35" s="1"/>
  <c r="J39" i="34"/>
  <c r="J39" i="35" s="1"/>
  <c r="U38" i="34"/>
  <c r="U38" i="35" s="1"/>
  <c r="T38" i="34"/>
  <c r="T38" i="35" s="1"/>
  <c r="S38" i="34"/>
  <c r="S38" i="35" s="1"/>
  <c r="R38" i="34"/>
  <c r="R38" i="35" s="1"/>
  <c r="Q38" i="34"/>
  <c r="Q38" i="35" s="1"/>
  <c r="P38" i="34"/>
  <c r="P38" i="35" s="1"/>
  <c r="O38" i="34"/>
  <c r="O38" i="35" s="1"/>
  <c r="N38" i="34"/>
  <c r="N38" i="35" s="1"/>
  <c r="M38" i="34"/>
  <c r="M38" i="35" s="1"/>
  <c r="L38" i="34"/>
  <c r="L38" i="35" s="1"/>
  <c r="K38" i="34"/>
  <c r="K38" i="35" s="1"/>
  <c r="J38" i="34"/>
  <c r="J38" i="35" s="1"/>
  <c r="U37" i="34"/>
  <c r="U37" i="35" s="1"/>
  <c r="T37" i="34"/>
  <c r="T37" i="35" s="1"/>
  <c r="S37" i="34"/>
  <c r="S37" i="35" s="1"/>
  <c r="R37" i="34"/>
  <c r="R37" i="35" s="1"/>
  <c r="Q37" i="34"/>
  <c r="Q37" i="35" s="1"/>
  <c r="P37" i="34"/>
  <c r="P37" i="35" s="1"/>
  <c r="O37" i="34"/>
  <c r="O37" i="35" s="1"/>
  <c r="N37" i="34"/>
  <c r="N37" i="35" s="1"/>
  <c r="M37" i="34"/>
  <c r="M37" i="35" s="1"/>
  <c r="L37" i="34"/>
  <c r="L37" i="35" s="1"/>
  <c r="K37" i="34"/>
  <c r="K37" i="35" s="1"/>
  <c r="J37" i="34"/>
  <c r="J37" i="35" s="1"/>
  <c r="U34" i="34"/>
  <c r="U34" i="35" s="1"/>
  <c r="W34" i="35" s="1"/>
  <c r="T34" i="34"/>
  <c r="T34" i="35" s="1"/>
  <c r="S34" i="34"/>
  <c r="S34" i="35" s="1"/>
  <c r="R34" i="34"/>
  <c r="R34" i="35" s="1"/>
  <c r="Q34" i="34"/>
  <c r="Q34" i="35" s="1"/>
  <c r="P34" i="34"/>
  <c r="P34" i="35" s="1"/>
  <c r="O34" i="34"/>
  <c r="O34" i="35" s="1"/>
  <c r="N34" i="34"/>
  <c r="N34" i="35" s="1"/>
  <c r="M34" i="34"/>
  <c r="M34" i="35" s="1"/>
  <c r="L34" i="34"/>
  <c r="L34" i="35" s="1"/>
  <c r="K34" i="34"/>
  <c r="K34" i="35" s="1"/>
  <c r="J34" i="34"/>
  <c r="J34" i="35" s="1"/>
  <c r="U33" i="34"/>
  <c r="U33" i="35" s="1"/>
  <c r="W33" i="35" s="1"/>
  <c r="T33" i="34"/>
  <c r="T33" i="35" s="1"/>
  <c r="S33" i="34"/>
  <c r="S33" i="35" s="1"/>
  <c r="R33" i="34"/>
  <c r="R33" i="35" s="1"/>
  <c r="Q33" i="34"/>
  <c r="Q33" i="35" s="1"/>
  <c r="P33" i="34"/>
  <c r="P33" i="35" s="1"/>
  <c r="O33" i="34"/>
  <c r="O33" i="35" s="1"/>
  <c r="N33" i="34"/>
  <c r="N33" i="35" s="1"/>
  <c r="M33" i="34"/>
  <c r="M33" i="35" s="1"/>
  <c r="L33" i="34"/>
  <c r="L33" i="35" s="1"/>
  <c r="K33" i="34"/>
  <c r="K33" i="35" s="1"/>
  <c r="J33" i="34"/>
  <c r="J33" i="35" s="1"/>
  <c r="U32" i="34"/>
  <c r="U32" i="35" s="1"/>
  <c r="W32" i="35" s="1"/>
  <c r="T32" i="34"/>
  <c r="T32" i="35" s="1"/>
  <c r="S32" i="34"/>
  <c r="S32" i="35" s="1"/>
  <c r="R32" i="34"/>
  <c r="R32" i="35" s="1"/>
  <c r="Q32" i="34"/>
  <c r="Q32" i="35" s="1"/>
  <c r="P32" i="34"/>
  <c r="P32" i="35" s="1"/>
  <c r="O32" i="34"/>
  <c r="O32" i="35" s="1"/>
  <c r="N32" i="34"/>
  <c r="N32" i="35" s="1"/>
  <c r="M32" i="34"/>
  <c r="M32" i="35" s="1"/>
  <c r="L32" i="34"/>
  <c r="L32" i="35" s="1"/>
  <c r="K32" i="34"/>
  <c r="K32" i="35" s="1"/>
  <c r="J32" i="34"/>
  <c r="J32" i="35" s="1"/>
  <c r="U29" i="34"/>
  <c r="U29" i="35" s="1"/>
  <c r="W29" i="35" s="1"/>
  <c r="W30" i="35" s="1"/>
  <c r="T29" i="34"/>
  <c r="T29" i="35" s="1"/>
  <c r="S29" i="34"/>
  <c r="S29" i="35" s="1"/>
  <c r="R29" i="34"/>
  <c r="R29" i="35" s="1"/>
  <c r="Q29" i="34"/>
  <c r="Q29" i="35" s="1"/>
  <c r="P29" i="34"/>
  <c r="P29" i="35" s="1"/>
  <c r="O29" i="34"/>
  <c r="O29" i="35" s="1"/>
  <c r="N29" i="34"/>
  <c r="N29" i="35" s="1"/>
  <c r="M29" i="34"/>
  <c r="M29" i="35" s="1"/>
  <c r="L29" i="34"/>
  <c r="L29" i="35" s="1"/>
  <c r="K29" i="34"/>
  <c r="K29" i="35" s="1"/>
  <c r="J29" i="34"/>
  <c r="J29" i="35" s="1"/>
  <c r="U27" i="34"/>
  <c r="U27" i="35" s="1"/>
  <c r="W27" i="35" s="1"/>
  <c r="W28" i="35" s="1"/>
  <c r="T27" i="34"/>
  <c r="T27" i="35" s="1"/>
  <c r="S27" i="34"/>
  <c r="S27" i="35" s="1"/>
  <c r="R27" i="34"/>
  <c r="R27" i="35" s="1"/>
  <c r="Q27" i="34"/>
  <c r="Q27" i="35" s="1"/>
  <c r="P27" i="34"/>
  <c r="P27" i="35" s="1"/>
  <c r="O27" i="34"/>
  <c r="O27" i="35" s="1"/>
  <c r="N27" i="34"/>
  <c r="N27" i="35" s="1"/>
  <c r="M27" i="34"/>
  <c r="M27" i="35" s="1"/>
  <c r="L27" i="34"/>
  <c r="L27" i="35" s="1"/>
  <c r="K27" i="34"/>
  <c r="K27" i="35" s="1"/>
  <c r="J27" i="34"/>
  <c r="J27" i="35" s="1"/>
  <c r="U25" i="34"/>
  <c r="U25" i="35" s="1"/>
  <c r="W25" i="35" s="1"/>
  <c r="T25" i="34"/>
  <c r="T25" i="35" s="1"/>
  <c r="S25" i="34"/>
  <c r="S25" i="35" s="1"/>
  <c r="R25" i="34"/>
  <c r="R25" i="35" s="1"/>
  <c r="Q25" i="34"/>
  <c r="Q25" i="35" s="1"/>
  <c r="P25" i="34"/>
  <c r="P25" i="35" s="1"/>
  <c r="O25" i="34"/>
  <c r="O25" i="35" s="1"/>
  <c r="N25" i="34"/>
  <c r="N25" i="35" s="1"/>
  <c r="M25" i="34"/>
  <c r="M25" i="35" s="1"/>
  <c r="L25" i="34"/>
  <c r="L25" i="35" s="1"/>
  <c r="K25" i="34"/>
  <c r="K25" i="35" s="1"/>
  <c r="J25" i="34"/>
  <c r="J25" i="35" s="1"/>
  <c r="U24" i="34"/>
  <c r="U24" i="35" s="1"/>
  <c r="T24" i="34"/>
  <c r="T24" i="35" s="1"/>
  <c r="S24" i="34"/>
  <c r="S24" i="35" s="1"/>
  <c r="R24" i="34"/>
  <c r="R24" i="35" s="1"/>
  <c r="Q24" i="34"/>
  <c r="Q24" i="35" s="1"/>
  <c r="P24" i="34"/>
  <c r="P24" i="35" s="1"/>
  <c r="O24" i="34"/>
  <c r="O24" i="35" s="1"/>
  <c r="N24" i="34"/>
  <c r="N24" i="35" s="1"/>
  <c r="M24" i="34"/>
  <c r="M24" i="35" s="1"/>
  <c r="L24" i="34"/>
  <c r="L24" i="35" s="1"/>
  <c r="K24" i="34"/>
  <c r="K24" i="35" s="1"/>
  <c r="J24" i="34"/>
  <c r="J24" i="35" s="1"/>
  <c r="U23" i="34"/>
  <c r="U23" i="35" s="1"/>
  <c r="T23" i="34"/>
  <c r="T23" i="35" s="1"/>
  <c r="S23" i="34"/>
  <c r="S23" i="35" s="1"/>
  <c r="R23" i="34"/>
  <c r="R23" i="35" s="1"/>
  <c r="Q23" i="34"/>
  <c r="Q23" i="35" s="1"/>
  <c r="P23" i="34"/>
  <c r="P23" i="35" s="1"/>
  <c r="O23" i="34"/>
  <c r="O23" i="35" s="1"/>
  <c r="N23" i="34"/>
  <c r="N23" i="35" s="1"/>
  <c r="M23" i="34"/>
  <c r="M23" i="35" s="1"/>
  <c r="L23" i="34"/>
  <c r="L23" i="35" s="1"/>
  <c r="K23" i="34"/>
  <c r="K23" i="35" s="1"/>
  <c r="J23" i="34"/>
  <c r="J23" i="35" s="1"/>
  <c r="U20" i="34"/>
  <c r="U20" i="35" s="1"/>
  <c r="W20" i="35" s="1"/>
  <c r="T20" i="34"/>
  <c r="T20" i="35" s="1"/>
  <c r="S20" i="34"/>
  <c r="S20" i="35" s="1"/>
  <c r="R20" i="34"/>
  <c r="R20" i="35" s="1"/>
  <c r="Q20" i="34"/>
  <c r="Q20" i="35" s="1"/>
  <c r="P20" i="34"/>
  <c r="P20" i="35" s="1"/>
  <c r="O20" i="34"/>
  <c r="O20" i="35" s="1"/>
  <c r="N20" i="34"/>
  <c r="N20" i="35" s="1"/>
  <c r="M20" i="34"/>
  <c r="M20" i="35" s="1"/>
  <c r="L20" i="34"/>
  <c r="L20" i="35" s="1"/>
  <c r="K20" i="34"/>
  <c r="K20" i="35" s="1"/>
  <c r="J20" i="34"/>
  <c r="J20" i="35" s="1"/>
  <c r="U19" i="34"/>
  <c r="U19" i="35" s="1"/>
  <c r="T19" i="34"/>
  <c r="T19" i="35" s="1"/>
  <c r="S19" i="34"/>
  <c r="S19" i="35" s="1"/>
  <c r="R19" i="34"/>
  <c r="R19" i="35" s="1"/>
  <c r="Q19" i="34"/>
  <c r="Q19" i="35" s="1"/>
  <c r="P19" i="34"/>
  <c r="P19" i="35" s="1"/>
  <c r="O19" i="34"/>
  <c r="O19" i="35" s="1"/>
  <c r="N19" i="34"/>
  <c r="N19" i="35" s="1"/>
  <c r="M19" i="34"/>
  <c r="M19" i="35" s="1"/>
  <c r="L19" i="34"/>
  <c r="L19" i="35" s="1"/>
  <c r="K19" i="34"/>
  <c r="K19" i="35" s="1"/>
  <c r="J19" i="34"/>
  <c r="J19" i="35" s="1"/>
  <c r="U18" i="34"/>
  <c r="U18" i="35" s="1"/>
  <c r="W18" i="35" s="1"/>
  <c r="T18" i="34"/>
  <c r="T18" i="35" s="1"/>
  <c r="S18" i="34"/>
  <c r="S18" i="35" s="1"/>
  <c r="R18" i="34"/>
  <c r="R18" i="35" s="1"/>
  <c r="Q18" i="34"/>
  <c r="Q18" i="35" s="1"/>
  <c r="P18" i="34"/>
  <c r="P18" i="35" s="1"/>
  <c r="O18" i="34"/>
  <c r="O18" i="35" s="1"/>
  <c r="N18" i="34"/>
  <c r="N18" i="35" s="1"/>
  <c r="M18" i="34"/>
  <c r="M18" i="35" s="1"/>
  <c r="L18" i="34"/>
  <c r="L18" i="35" s="1"/>
  <c r="K18" i="34"/>
  <c r="K18" i="35" s="1"/>
  <c r="J18" i="34"/>
  <c r="J18" i="35" s="1"/>
  <c r="U15" i="34"/>
  <c r="U15" i="35" s="1"/>
  <c r="T15" i="34"/>
  <c r="T15" i="35" s="1"/>
  <c r="S15" i="34"/>
  <c r="S15" i="35" s="1"/>
  <c r="R15" i="34"/>
  <c r="R15" i="35" s="1"/>
  <c r="Q15" i="34"/>
  <c r="Q15" i="35" s="1"/>
  <c r="P15" i="34"/>
  <c r="P15" i="35" s="1"/>
  <c r="O15" i="34"/>
  <c r="O15" i="35" s="1"/>
  <c r="N15" i="34"/>
  <c r="N15" i="35" s="1"/>
  <c r="M15" i="34"/>
  <c r="M15" i="35" s="1"/>
  <c r="L15" i="34"/>
  <c r="L15" i="35" s="1"/>
  <c r="K15" i="34"/>
  <c r="K15" i="35" s="1"/>
  <c r="J15" i="34"/>
  <c r="J15" i="35" s="1"/>
  <c r="U14" i="34"/>
  <c r="U14" i="35" s="1"/>
  <c r="T14" i="34"/>
  <c r="T14" i="35" s="1"/>
  <c r="S14" i="34"/>
  <c r="S14" i="35" s="1"/>
  <c r="R14" i="34"/>
  <c r="R14" i="35" s="1"/>
  <c r="Q14" i="34"/>
  <c r="Q14" i="35" s="1"/>
  <c r="P14" i="34"/>
  <c r="P14" i="35" s="1"/>
  <c r="O14" i="34"/>
  <c r="O14" i="35" s="1"/>
  <c r="N14" i="34"/>
  <c r="N14" i="35" s="1"/>
  <c r="M14" i="34"/>
  <c r="M14" i="35" s="1"/>
  <c r="L14" i="34"/>
  <c r="L14" i="35" s="1"/>
  <c r="K14" i="34"/>
  <c r="K14" i="35" s="1"/>
  <c r="J14" i="34"/>
  <c r="J14" i="35" s="1"/>
  <c r="U12" i="34"/>
  <c r="U12" i="35" s="1"/>
  <c r="T12" i="34"/>
  <c r="T12" i="35" s="1"/>
  <c r="S12" i="34"/>
  <c r="S12" i="35" s="1"/>
  <c r="R12" i="34"/>
  <c r="R12" i="35" s="1"/>
  <c r="Q12" i="34"/>
  <c r="Q12" i="35" s="1"/>
  <c r="P12" i="34"/>
  <c r="P12" i="35" s="1"/>
  <c r="O12" i="34"/>
  <c r="O12" i="35" s="1"/>
  <c r="N12" i="34"/>
  <c r="N12" i="35" s="1"/>
  <c r="M12" i="34"/>
  <c r="M12" i="35" s="1"/>
  <c r="L12" i="34"/>
  <c r="L12" i="35" s="1"/>
  <c r="K12" i="34"/>
  <c r="K12" i="35" s="1"/>
  <c r="J12" i="34"/>
  <c r="J12" i="35" s="1"/>
  <c r="U11" i="34"/>
  <c r="U11" i="35" s="1"/>
  <c r="T11" i="34"/>
  <c r="T11" i="35" s="1"/>
  <c r="S11" i="34"/>
  <c r="S11" i="35" s="1"/>
  <c r="R11" i="34"/>
  <c r="R11" i="35" s="1"/>
  <c r="Q11" i="34"/>
  <c r="Q11" i="35" s="1"/>
  <c r="P11" i="34"/>
  <c r="P11" i="35" s="1"/>
  <c r="O11" i="34"/>
  <c r="O11" i="35" s="1"/>
  <c r="N11" i="34"/>
  <c r="N11" i="35" s="1"/>
  <c r="M11" i="34"/>
  <c r="M11" i="35" s="1"/>
  <c r="L11" i="34"/>
  <c r="L11" i="35" s="1"/>
  <c r="K11" i="34"/>
  <c r="K11" i="35" s="1"/>
  <c r="J11" i="34"/>
  <c r="J11" i="35" s="1"/>
  <c r="U9" i="34"/>
  <c r="U9" i="35" s="1"/>
  <c r="T9" i="34"/>
  <c r="T9" i="35" s="1"/>
  <c r="S9" i="34"/>
  <c r="S9" i="35" s="1"/>
  <c r="R9" i="34"/>
  <c r="R9" i="35" s="1"/>
  <c r="Q9" i="34"/>
  <c r="Q9" i="35" s="1"/>
  <c r="P9" i="34"/>
  <c r="P9" i="35" s="1"/>
  <c r="O9" i="34"/>
  <c r="O9" i="35" s="1"/>
  <c r="N9" i="34"/>
  <c r="N9" i="35" s="1"/>
  <c r="M9" i="34"/>
  <c r="M9" i="35" s="1"/>
  <c r="L9" i="34"/>
  <c r="L9" i="35" s="1"/>
  <c r="K9" i="34"/>
  <c r="K9" i="35" s="1"/>
  <c r="J9" i="34"/>
  <c r="J9" i="35" s="1"/>
  <c r="U8" i="34"/>
  <c r="U8" i="35" s="1"/>
  <c r="T8" i="34"/>
  <c r="T8" i="35" s="1"/>
  <c r="S8" i="34"/>
  <c r="S8" i="35" s="1"/>
  <c r="R8" i="34"/>
  <c r="R8" i="35" s="1"/>
  <c r="Q8" i="34"/>
  <c r="Q8" i="35" s="1"/>
  <c r="P8" i="34"/>
  <c r="P8" i="35" s="1"/>
  <c r="O8" i="34"/>
  <c r="O8" i="35" s="1"/>
  <c r="N8" i="34"/>
  <c r="N8" i="35" s="1"/>
  <c r="M8" i="34"/>
  <c r="M8" i="35" s="1"/>
  <c r="L8" i="34"/>
  <c r="L8" i="35" s="1"/>
  <c r="K8" i="34"/>
  <c r="K8" i="35" s="1"/>
  <c r="J8" i="34"/>
  <c r="J8" i="35" s="1"/>
  <c r="U7" i="34"/>
  <c r="U7" i="35" s="1"/>
  <c r="W7" i="35" s="1"/>
  <c r="T7" i="34"/>
  <c r="T7" i="35" s="1"/>
  <c r="S7" i="34"/>
  <c r="S7" i="35" s="1"/>
  <c r="R7" i="34"/>
  <c r="R7" i="35" s="1"/>
  <c r="Q7" i="34"/>
  <c r="Q7" i="35" s="1"/>
  <c r="P7" i="34"/>
  <c r="P7" i="35" s="1"/>
  <c r="O7" i="34"/>
  <c r="O7" i="35" s="1"/>
  <c r="N7" i="34"/>
  <c r="N7" i="35" s="1"/>
  <c r="M7" i="34"/>
  <c r="M7" i="35" s="1"/>
  <c r="L7" i="34"/>
  <c r="L7" i="35" s="1"/>
  <c r="K7" i="34"/>
  <c r="K7" i="35" s="1"/>
  <c r="J7" i="34"/>
  <c r="J7" i="35" s="1"/>
  <c r="K3" i="34"/>
  <c r="K3" i="35" s="1"/>
  <c r="L3" i="34"/>
  <c r="L3" i="35" s="1"/>
  <c r="M3" i="34"/>
  <c r="M3" i="35" s="1"/>
  <c r="N3" i="34"/>
  <c r="N3" i="35" s="1"/>
  <c r="N90" i="35" s="1"/>
  <c r="N97" i="35" s="1"/>
  <c r="N104" i="35" s="1"/>
  <c r="O3" i="34"/>
  <c r="O3" i="35" s="1"/>
  <c r="O90" i="35" s="1"/>
  <c r="O97" i="35" s="1"/>
  <c r="O104" i="35" s="1"/>
  <c r="P3" i="34"/>
  <c r="P3" i="35" s="1"/>
  <c r="P90" i="35" s="1"/>
  <c r="P97" i="35" s="1"/>
  <c r="P104" i="35" s="1"/>
  <c r="Q3" i="34"/>
  <c r="Q3" i="35" s="1"/>
  <c r="R3" i="34"/>
  <c r="R3" i="35" s="1"/>
  <c r="S3" i="34"/>
  <c r="S3" i="35" s="1"/>
  <c r="T3" i="34"/>
  <c r="T3" i="35" s="1"/>
  <c r="U3" i="34"/>
  <c r="U3" i="35" s="1"/>
  <c r="K4" i="34"/>
  <c r="K4" i="35" s="1"/>
  <c r="K88" i="35" s="1"/>
  <c r="K95" i="35" s="1"/>
  <c r="L4" i="34"/>
  <c r="L4" i="35" s="1"/>
  <c r="M4" i="34"/>
  <c r="M4" i="35" s="1"/>
  <c r="N4" i="34"/>
  <c r="N4" i="35" s="1"/>
  <c r="N88" i="35" s="1"/>
  <c r="N95" i="35" s="1"/>
  <c r="O4" i="34"/>
  <c r="O4" i="35" s="1"/>
  <c r="O88" i="35" s="1"/>
  <c r="O95" i="35" s="1"/>
  <c r="P4" i="34"/>
  <c r="P4" i="35" s="1"/>
  <c r="Q4" i="34"/>
  <c r="Q4" i="35" s="1"/>
  <c r="R4" i="34"/>
  <c r="R4" i="35" s="1"/>
  <c r="S4" i="34"/>
  <c r="S4" i="35" s="1"/>
  <c r="T4" i="34"/>
  <c r="T4" i="35" s="1"/>
  <c r="U4" i="34"/>
  <c r="U4" i="35" s="1"/>
  <c r="W4" i="35" s="1"/>
  <c r="K5" i="34"/>
  <c r="K5" i="35" s="1"/>
  <c r="L5" i="34"/>
  <c r="L5" i="35" s="1"/>
  <c r="M5" i="34"/>
  <c r="M5" i="35" s="1"/>
  <c r="N5" i="34"/>
  <c r="N5" i="35" s="1"/>
  <c r="O5" i="34"/>
  <c r="O5" i="35" s="1"/>
  <c r="P5" i="34"/>
  <c r="P5" i="35" s="1"/>
  <c r="Q5" i="34"/>
  <c r="Q5" i="35" s="1"/>
  <c r="R5" i="34"/>
  <c r="R5" i="35" s="1"/>
  <c r="S5" i="34"/>
  <c r="S5" i="35" s="1"/>
  <c r="T5" i="34"/>
  <c r="T5" i="35" s="1"/>
  <c r="U5" i="34"/>
  <c r="U5" i="35" s="1"/>
  <c r="J4" i="34"/>
  <c r="J4" i="35" s="1"/>
  <c r="J5" i="34"/>
  <c r="J5" i="35" s="1"/>
  <c r="S90" i="35" l="1"/>
  <c r="S97" i="35" s="1"/>
  <c r="S104" i="35" s="1"/>
  <c r="V49" i="35"/>
  <c r="V76" i="35"/>
  <c r="Q90" i="35"/>
  <c r="Q97" i="35" s="1"/>
  <c r="Q104" i="35" s="1"/>
  <c r="P88" i="35"/>
  <c r="P95" i="35" s="1"/>
  <c r="P102" i="35" s="1"/>
  <c r="M88" i="35"/>
  <c r="L90" i="35"/>
  <c r="L97" i="35" s="1"/>
  <c r="L104" i="35" s="1"/>
  <c r="V4" i="35"/>
  <c r="I3" i="35"/>
  <c r="I7" i="35"/>
  <c r="I9" i="35"/>
  <c r="W15" i="35"/>
  <c r="I18" i="35"/>
  <c r="I19" i="35"/>
  <c r="I29" i="35"/>
  <c r="I28" i="35" s="1"/>
  <c r="I34" i="35"/>
  <c r="I37" i="35"/>
  <c r="I44" i="35"/>
  <c r="I45" i="35"/>
  <c r="I46" i="35"/>
  <c r="I53" i="35"/>
  <c r="I57" i="35"/>
  <c r="I60" i="35"/>
  <c r="I64" i="35"/>
  <c r="I65" i="35"/>
  <c r="I70" i="35"/>
  <c r="I71" i="35"/>
  <c r="I75" i="35"/>
  <c r="I76" i="35"/>
  <c r="I82" i="35"/>
  <c r="I81" i="35" s="1"/>
  <c r="R90" i="35"/>
  <c r="R97" i="35" s="1"/>
  <c r="R104" i="35" s="1"/>
  <c r="I11" i="35"/>
  <c r="U90" i="35"/>
  <c r="U97" i="35" s="1"/>
  <c r="U104" i="35" s="1"/>
  <c r="I50" i="35"/>
  <c r="W51" i="35"/>
  <c r="W14" i="35"/>
  <c r="W16" i="35" s="1"/>
  <c r="T90" i="35"/>
  <c r="T97" i="35" s="1"/>
  <c r="T104" i="35" s="1"/>
  <c r="V8" i="35"/>
  <c r="V11" i="35"/>
  <c r="I12" i="35"/>
  <c r="I10" i="35" s="1"/>
  <c r="K10" i="35" s="1"/>
  <c r="V14" i="35"/>
  <c r="V18" i="35"/>
  <c r="V20" i="35"/>
  <c r="V23" i="35"/>
  <c r="V25" i="35"/>
  <c r="V27" i="35"/>
  <c r="V28" i="35" s="1"/>
  <c r="X28" i="35" s="1"/>
  <c r="V33" i="35"/>
  <c r="V50" i="35"/>
  <c r="V57" i="35"/>
  <c r="V74" i="35"/>
  <c r="V77" i="35" s="1"/>
  <c r="V75" i="35"/>
  <c r="V80" i="35"/>
  <c r="V81" i="35" s="1"/>
  <c r="I80" i="35"/>
  <c r="L88" i="35"/>
  <c r="L95" i="35" s="1"/>
  <c r="J88" i="35"/>
  <c r="J95" i="35" s="1"/>
  <c r="J102" i="35" s="1"/>
  <c r="V19" i="35"/>
  <c r="V37" i="35"/>
  <c r="V38" i="35"/>
  <c r="V39" i="35"/>
  <c r="W3" i="35"/>
  <c r="V12" i="35"/>
  <c r="W5" i="35"/>
  <c r="T88" i="35"/>
  <c r="T95" i="35" s="1"/>
  <c r="V7" i="35"/>
  <c r="X7" i="35" s="1"/>
  <c r="V32" i="35"/>
  <c r="I33" i="35"/>
  <c r="V34" i="35"/>
  <c r="I51" i="35"/>
  <c r="I52" i="35"/>
  <c r="V53" i="35"/>
  <c r="V69" i="35"/>
  <c r="V70" i="35"/>
  <c r="V71" i="35"/>
  <c r="V72" i="35"/>
  <c r="I78" i="35"/>
  <c r="V79" i="35"/>
  <c r="U88" i="35"/>
  <c r="U95" i="35" s="1"/>
  <c r="U102" i="35" s="1"/>
  <c r="I27" i="35"/>
  <c r="I26" i="35" s="1"/>
  <c r="I38" i="35"/>
  <c r="I39" i="35"/>
  <c r="I42" i="35"/>
  <c r="V43" i="35"/>
  <c r="V44" i="35"/>
  <c r="V45" i="35"/>
  <c r="V46" i="35"/>
  <c r="V56" i="35"/>
  <c r="V58" i="35"/>
  <c r="V60" i="35"/>
  <c r="V63" i="35"/>
  <c r="V64" i="35"/>
  <c r="V65" i="35"/>
  <c r="V66" i="35"/>
  <c r="V82" i="35"/>
  <c r="V83" i="35" s="1"/>
  <c r="X83" i="35" s="1"/>
  <c r="I83" i="35"/>
  <c r="V5" i="35"/>
  <c r="V6" i="35" s="1"/>
  <c r="V24" i="35"/>
  <c r="Q88" i="35"/>
  <c r="Q95" i="35" s="1"/>
  <c r="Q102" i="35" s="1"/>
  <c r="I58" i="35"/>
  <c r="V59" i="35"/>
  <c r="R88" i="35"/>
  <c r="R95" i="35" s="1"/>
  <c r="I15" i="35"/>
  <c r="I8" i="35"/>
  <c r="I6" i="35" s="1"/>
  <c r="V15" i="35"/>
  <c r="V16" i="35" s="1"/>
  <c r="V9" i="35"/>
  <c r="I5" i="35"/>
  <c r="V3" i="35"/>
  <c r="M90" i="35"/>
  <c r="M97" i="35" s="1"/>
  <c r="M104" i="35" s="1"/>
  <c r="S88" i="35"/>
  <c r="S95" i="35" s="1"/>
  <c r="S102" i="35" s="1"/>
  <c r="V29" i="35"/>
  <c r="V30" i="35" s="1"/>
  <c r="X30" i="35" s="1"/>
  <c r="V98" i="35"/>
  <c r="I14" i="35"/>
  <c r="K90" i="35"/>
  <c r="K97" i="35" s="1"/>
  <c r="K104" i="35" s="1"/>
  <c r="W8" i="35"/>
  <c r="W9" i="35"/>
  <c r="W11" i="35"/>
  <c r="W12" i="35"/>
  <c r="W38" i="35"/>
  <c r="W39" i="35"/>
  <c r="W44" i="35"/>
  <c r="W45" i="35"/>
  <c r="W50" i="35"/>
  <c r="W52" i="35"/>
  <c r="W53" i="35"/>
  <c r="W56" i="35"/>
  <c r="W57" i="35"/>
  <c r="W59" i="35"/>
  <c r="W60" i="35"/>
  <c r="W63" i="35"/>
  <c r="W64" i="35"/>
  <c r="W69" i="35"/>
  <c r="W72" i="35"/>
  <c r="W74" i="35"/>
  <c r="W75" i="35"/>
  <c r="W76" i="35"/>
  <c r="W78" i="35"/>
  <c r="W79" i="35"/>
  <c r="W80" i="35"/>
  <c r="W82" i="35"/>
  <c r="W83" i="35" s="1"/>
  <c r="I4" i="35"/>
  <c r="I2" i="35" s="1"/>
  <c r="W19" i="35"/>
  <c r="I20" i="35"/>
  <c r="W23" i="35"/>
  <c r="I23" i="35"/>
  <c r="W24" i="35"/>
  <c r="I25" i="35"/>
  <c r="I32" i="35"/>
  <c r="W37" i="35"/>
  <c r="W42" i="35"/>
  <c r="I43" i="35"/>
  <c r="W46" i="35"/>
  <c r="W49" i="35"/>
  <c r="I56" i="35"/>
  <c r="I59" i="35"/>
  <c r="I63" i="35"/>
  <c r="W65" i="35"/>
  <c r="I66" i="35"/>
  <c r="I69" i="35"/>
  <c r="W70" i="35"/>
  <c r="W71" i="35"/>
  <c r="I72" i="35"/>
  <c r="I74" i="35"/>
  <c r="I79" i="35"/>
  <c r="J90" i="35"/>
  <c r="J97" i="35" s="1"/>
  <c r="I24" i="35"/>
  <c r="I49" i="35"/>
  <c r="N102" i="35"/>
  <c r="K102" i="35"/>
  <c r="AA3" i="35"/>
  <c r="V91" i="35"/>
  <c r="O102" i="35"/>
  <c r="M95" i="35"/>
  <c r="W10" i="35"/>
  <c r="V105" i="35"/>
  <c r="U125" i="34"/>
  <c r="T125" i="34"/>
  <c r="R125" i="34"/>
  <c r="Q125" i="34"/>
  <c r="P125" i="34"/>
  <c r="O125" i="34"/>
  <c r="N125" i="34"/>
  <c r="M125" i="34"/>
  <c r="L125" i="34"/>
  <c r="K125" i="34"/>
  <c r="J125" i="34"/>
  <c r="S117" i="34"/>
  <c r="V117" i="34" s="1"/>
  <c r="T109" i="34"/>
  <c r="V109" i="34" s="1"/>
  <c r="U99" i="34"/>
  <c r="U110" i="34" s="1"/>
  <c r="T99" i="34"/>
  <c r="T110" i="34" s="1"/>
  <c r="S99" i="34"/>
  <c r="S110" i="34" s="1"/>
  <c r="R99" i="34"/>
  <c r="R110" i="34" s="1"/>
  <c r="Q99" i="34"/>
  <c r="Q110" i="34" s="1"/>
  <c r="P99" i="34"/>
  <c r="O99" i="34"/>
  <c r="O110" i="34" s="1"/>
  <c r="O118" i="34" s="1"/>
  <c r="O126" i="34" s="1"/>
  <c r="N99" i="34"/>
  <c r="N110" i="34" s="1"/>
  <c r="N118" i="34" s="1"/>
  <c r="N126" i="34" s="1"/>
  <c r="M99" i="34"/>
  <c r="M110" i="34" s="1"/>
  <c r="M118" i="34" s="1"/>
  <c r="M126" i="34" s="1"/>
  <c r="L99" i="34"/>
  <c r="L110" i="34" s="1"/>
  <c r="L118" i="34" s="1"/>
  <c r="L126" i="34" s="1"/>
  <c r="K99" i="34"/>
  <c r="K110" i="34" s="1"/>
  <c r="K118" i="34" s="1"/>
  <c r="K126" i="34" s="1"/>
  <c r="J99" i="34"/>
  <c r="J110" i="34" s="1"/>
  <c r="T97" i="34"/>
  <c r="T108" i="34" s="1"/>
  <c r="S97" i="34"/>
  <c r="S108" i="34" s="1"/>
  <c r="R97" i="34"/>
  <c r="R108" i="34" s="1"/>
  <c r="Q97" i="34"/>
  <c r="P97" i="34"/>
  <c r="P108" i="34" s="1"/>
  <c r="P116" i="34" s="1"/>
  <c r="O97" i="34"/>
  <c r="O108" i="34" s="1"/>
  <c r="O116" i="34" s="1"/>
  <c r="N97" i="34"/>
  <c r="N108" i="34" s="1"/>
  <c r="M97" i="34"/>
  <c r="L97" i="34"/>
  <c r="L108" i="34" s="1"/>
  <c r="J97" i="34"/>
  <c r="J108" i="34" s="1"/>
  <c r="U88" i="34"/>
  <c r="T88" i="34"/>
  <c r="S88" i="34"/>
  <c r="R88" i="34"/>
  <c r="Q88" i="34"/>
  <c r="P88" i="34"/>
  <c r="O88" i="34"/>
  <c r="N88" i="34"/>
  <c r="M88" i="34"/>
  <c r="L88" i="34"/>
  <c r="K88" i="34"/>
  <c r="J88" i="34"/>
  <c r="U87" i="34"/>
  <c r="T87" i="34"/>
  <c r="S87" i="34"/>
  <c r="R87" i="34"/>
  <c r="Q87" i="34"/>
  <c r="P87" i="34"/>
  <c r="O87" i="34"/>
  <c r="N87" i="34"/>
  <c r="M87" i="34"/>
  <c r="L87" i="34"/>
  <c r="K87" i="34"/>
  <c r="J87" i="34"/>
  <c r="T85" i="34"/>
  <c r="S85" i="34"/>
  <c r="R85" i="34"/>
  <c r="Q85" i="34"/>
  <c r="P85" i="34"/>
  <c r="O85" i="34"/>
  <c r="N85" i="34"/>
  <c r="M85" i="34"/>
  <c r="L85" i="34"/>
  <c r="J85" i="34"/>
  <c r="I83" i="34"/>
  <c r="W82" i="34"/>
  <c r="W83" i="34" s="1"/>
  <c r="V82" i="34"/>
  <c r="V83" i="34" s="1"/>
  <c r="I82" i="34"/>
  <c r="I81" i="34" s="1"/>
  <c r="W80" i="34"/>
  <c r="V80" i="34"/>
  <c r="I80" i="34"/>
  <c r="W79" i="34"/>
  <c r="V79" i="34"/>
  <c r="I79" i="34"/>
  <c r="W78" i="34"/>
  <c r="V78" i="34"/>
  <c r="I78" i="34"/>
  <c r="W76" i="34"/>
  <c r="V76" i="34"/>
  <c r="I76" i="34"/>
  <c r="W75" i="34"/>
  <c r="V75" i="34"/>
  <c r="I75" i="34"/>
  <c r="W74" i="34"/>
  <c r="V74" i="34"/>
  <c r="I74" i="34"/>
  <c r="W72" i="34"/>
  <c r="V72" i="34"/>
  <c r="I72" i="34"/>
  <c r="W71" i="34"/>
  <c r="V71" i="34"/>
  <c r="I71" i="34"/>
  <c r="W70" i="34"/>
  <c r="V70" i="34"/>
  <c r="I70" i="34"/>
  <c r="W69" i="34"/>
  <c r="V69" i="34"/>
  <c r="I69" i="34"/>
  <c r="W66" i="34"/>
  <c r="V66" i="34"/>
  <c r="I66" i="34"/>
  <c r="W65" i="34"/>
  <c r="V65" i="34"/>
  <c r="I65" i="34"/>
  <c r="W64" i="34"/>
  <c r="V64" i="34"/>
  <c r="I64" i="34"/>
  <c r="W63" i="34"/>
  <c r="V63" i="34"/>
  <c r="I63" i="34"/>
  <c r="W60" i="34"/>
  <c r="V60" i="34"/>
  <c r="I60" i="34"/>
  <c r="W59" i="34"/>
  <c r="V59" i="34"/>
  <c r="I59" i="34"/>
  <c r="W58" i="34"/>
  <c r="V58" i="34"/>
  <c r="W57" i="34"/>
  <c r="V57" i="34"/>
  <c r="I57" i="34"/>
  <c r="X56" i="34"/>
  <c r="W56" i="34"/>
  <c r="V56" i="34"/>
  <c r="I56" i="34"/>
  <c r="W53" i="34"/>
  <c r="V53" i="34"/>
  <c r="I53" i="34"/>
  <c r="W52" i="34"/>
  <c r="V52" i="34"/>
  <c r="I52" i="34"/>
  <c r="W51" i="34"/>
  <c r="V51" i="34"/>
  <c r="I51" i="34"/>
  <c r="W50" i="34"/>
  <c r="V50" i="34"/>
  <c r="I50" i="34"/>
  <c r="W49" i="34"/>
  <c r="V49" i="34"/>
  <c r="I49" i="34"/>
  <c r="W46" i="34"/>
  <c r="V46" i="34"/>
  <c r="I46" i="34"/>
  <c r="W45" i="34"/>
  <c r="V45" i="34"/>
  <c r="I45" i="34"/>
  <c r="W44" i="34"/>
  <c r="V44" i="34"/>
  <c r="I44" i="34"/>
  <c r="W43" i="34"/>
  <c r="V43" i="34"/>
  <c r="I43" i="34"/>
  <c r="W42" i="34"/>
  <c r="V42" i="34"/>
  <c r="I42" i="34"/>
  <c r="W39" i="34"/>
  <c r="V39" i="34"/>
  <c r="I39" i="34"/>
  <c r="W38" i="34"/>
  <c r="V38" i="34"/>
  <c r="I38" i="34"/>
  <c r="W37" i="34"/>
  <c r="V37" i="34"/>
  <c r="I37" i="34"/>
  <c r="W34" i="34"/>
  <c r="V34" i="34"/>
  <c r="I34" i="34"/>
  <c r="W33" i="34"/>
  <c r="V33" i="34"/>
  <c r="I33" i="34"/>
  <c r="W32" i="34"/>
  <c r="V32" i="34"/>
  <c r="I32" i="34"/>
  <c r="W29" i="34"/>
  <c r="W30" i="34" s="1"/>
  <c r="V29" i="34"/>
  <c r="V30" i="34" s="1"/>
  <c r="I29" i="34"/>
  <c r="I28" i="34" s="1"/>
  <c r="W27" i="34"/>
  <c r="W28" i="34" s="1"/>
  <c r="V27" i="34"/>
  <c r="V28" i="34" s="1"/>
  <c r="I27" i="34"/>
  <c r="I26" i="34" s="1"/>
  <c r="W25" i="34"/>
  <c r="V25" i="34"/>
  <c r="I25" i="34"/>
  <c r="W24" i="34"/>
  <c r="V24" i="34"/>
  <c r="I24" i="34"/>
  <c r="W23" i="34"/>
  <c r="V23" i="34"/>
  <c r="I23" i="34"/>
  <c r="W20" i="34"/>
  <c r="V20" i="34"/>
  <c r="I20" i="34"/>
  <c r="W19" i="34"/>
  <c r="V19" i="34"/>
  <c r="I19" i="34"/>
  <c r="W18" i="34"/>
  <c r="V18" i="34"/>
  <c r="I18" i="34"/>
  <c r="W15" i="34"/>
  <c r="V15" i="34"/>
  <c r="I15" i="34"/>
  <c r="W14" i="34"/>
  <c r="V14" i="34"/>
  <c r="I14" i="34"/>
  <c r="V12" i="34"/>
  <c r="I12" i="34"/>
  <c r="W11" i="34"/>
  <c r="V11" i="34"/>
  <c r="I11" i="34"/>
  <c r="W9" i="34"/>
  <c r="V9" i="34"/>
  <c r="I9" i="34"/>
  <c r="W8" i="34"/>
  <c r="V8" i="34"/>
  <c r="I8" i="34"/>
  <c r="W7" i="34"/>
  <c r="V7" i="34"/>
  <c r="I7" i="34"/>
  <c r="W5" i="34"/>
  <c r="V5" i="34"/>
  <c r="I5" i="34"/>
  <c r="W4" i="34"/>
  <c r="V4" i="34"/>
  <c r="I4" i="34"/>
  <c r="W3" i="34"/>
  <c r="V3" i="34"/>
  <c r="I3" i="34"/>
  <c r="V88" i="18"/>
  <c r="J88" i="18"/>
  <c r="K88" i="18"/>
  <c r="I6" i="18"/>
  <c r="U18" i="19"/>
  <c r="U25" i="19" s="1"/>
  <c r="U33" i="19" s="1"/>
  <c r="U41" i="19" s="1"/>
  <c r="U47" i="19" s="1"/>
  <c r="U54" i="19" s="1"/>
  <c r="U62" i="19" s="1"/>
  <c r="U70" i="19" s="1"/>
  <c r="U80" i="19" s="1"/>
  <c r="U90" i="19" s="1"/>
  <c r="U101" i="19" s="1"/>
  <c r="U110" i="19" s="1"/>
  <c r="U119" i="19" s="1"/>
  <c r="U126" i="19" s="1"/>
  <c r="U133" i="19" s="1"/>
  <c r="S125" i="34" l="1"/>
  <c r="V125" i="34" s="1"/>
  <c r="T102" i="35"/>
  <c r="L102" i="35"/>
  <c r="AB3" i="35"/>
  <c r="R102" i="35"/>
  <c r="W6" i="35"/>
  <c r="I73" i="35"/>
  <c r="X8" i="35"/>
  <c r="Z3" i="35"/>
  <c r="V88" i="35"/>
  <c r="V90" i="35"/>
  <c r="W81" i="35"/>
  <c r="X81" i="35" s="1"/>
  <c r="W13" i="35"/>
  <c r="I77" i="35"/>
  <c r="X9" i="35"/>
  <c r="V10" i="35"/>
  <c r="W77" i="35"/>
  <c r="X77" i="35" s="1"/>
  <c r="X4" i="35"/>
  <c r="I13" i="35"/>
  <c r="V13" i="35"/>
  <c r="V95" i="35"/>
  <c r="V97" i="35"/>
  <c r="J104" i="35"/>
  <c r="V104" i="35" s="1"/>
  <c r="M102" i="35"/>
  <c r="V16" i="34"/>
  <c r="I6" i="34"/>
  <c r="X83" i="34"/>
  <c r="V77" i="34"/>
  <c r="W16" i="34"/>
  <c r="W81" i="34"/>
  <c r="I77" i="34"/>
  <c r="W77" i="34"/>
  <c r="I73" i="34"/>
  <c r="X30" i="34"/>
  <c r="I13" i="34"/>
  <c r="I10" i="34"/>
  <c r="K10" i="34" s="1"/>
  <c r="W10" i="34"/>
  <c r="X8" i="34"/>
  <c r="V6" i="34"/>
  <c r="I2" i="34"/>
  <c r="V13" i="34"/>
  <c r="I90" i="34"/>
  <c r="X7" i="34"/>
  <c r="Z3" i="34"/>
  <c r="N116" i="34"/>
  <c r="N115" i="34" s="1"/>
  <c r="N107" i="34"/>
  <c r="N111" i="34" s="1"/>
  <c r="P107" i="34"/>
  <c r="M108" i="34"/>
  <c r="M107" i="34" s="1"/>
  <c r="M111" i="34" s="1"/>
  <c r="V87" i="34"/>
  <c r="O107" i="34"/>
  <c r="O111" i="34" s="1"/>
  <c r="K85" i="34"/>
  <c r="K97" i="34"/>
  <c r="W12" i="34"/>
  <c r="W13" i="34" s="1"/>
  <c r="S118" i="34"/>
  <c r="S126" i="34" s="1"/>
  <c r="T118" i="34"/>
  <c r="T126" i="34" s="1"/>
  <c r="S107" i="34"/>
  <c r="S111" i="34" s="1"/>
  <c r="S116" i="34"/>
  <c r="U118" i="34"/>
  <c r="U126" i="34" s="1"/>
  <c r="J118" i="34"/>
  <c r="P110" i="34"/>
  <c r="W6" i="34"/>
  <c r="AA3" i="34"/>
  <c r="R118" i="34"/>
  <c r="R126" i="34" s="1"/>
  <c r="Q108" i="34"/>
  <c r="X4" i="34"/>
  <c r="V81" i="34"/>
  <c r="R116" i="34"/>
  <c r="R107" i="34"/>
  <c r="R111" i="34" s="1"/>
  <c r="T107" i="34"/>
  <c r="T111" i="34" s="1"/>
  <c r="T116" i="34"/>
  <c r="V99" i="34"/>
  <c r="Q118" i="34"/>
  <c r="Q126" i="34" s="1"/>
  <c r="P115" i="34"/>
  <c r="P124" i="34"/>
  <c r="P123" i="34" s="1"/>
  <c r="X28" i="34"/>
  <c r="X9" i="34"/>
  <c r="V10" i="34"/>
  <c r="J107" i="34"/>
  <c r="J116" i="34"/>
  <c r="V88" i="34"/>
  <c r="L107" i="34"/>
  <c r="L111" i="34" s="1"/>
  <c r="L116" i="34"/>
  <c r="O115" i="34"/>
  <c r="O124" i="34"/>
  <c r="O123" i="34" s="1"/>
  <c r="U97" i="34"/>
  <c r="I58" i="34"/>
  <c r="U85" i="34"/>
  <c r="V6" i="18"/>
  <c r="V16" i="18"/>
  <c r="I90" i="18"/>
  <c r="J87" i="18"/>
  <c r="J85" i="18"/>
  <c r="O85" i="18"/>
  <c r="W3" i="18"/>
  <c r="V3" i="18"/>
  <c r="W10" i="18"/>
  <c r="V10" i="18"/>
  <c r="X10" i="35" l="1"/>
  <c r="V102" i="35"/>
  <c r="V97" i="34"/>
  <c r="X81" i="34"/>
  <c r="X77" i="34"/>
  <c r="N124" i="34"/>
  <c r="N123" i="34" s="1"/>
  <c r="AB3" i="34"/>
  <c r="X10" i="34"/>
  <c r="M116" i="34"/>
  <c r="M115" i="34" s="1"/>
  <c r="J115" i="34"/>
  <c r="J119" i="34" s="1"/>
  <c r="J124" i="34"/>
  <c r="R115" i="34"/>
  <c r="R124" i="34"/>
  <c r="R123" i="34" s="1"/>
  <c r="P111" i="34"/>
  <c r="P118" i="34"/>
  <c r="P126" i="34" s="1"/>
  <c r="T124" i="34"/>
  <c r="T123" i="34" s="1"/>
  <c r="T115" i="34"/>
  <c r="U108" i="34"/>
  <c r="V110" i="34"/>
  <c r="Q116" i="34"/>
  <c r="Q107" i="34"/>
  <c r="Q111" i="34" s="1"/>
  <c r="J126" i="34"/>
  <c r="J111" i="34"/>
  <c r="K108" i="34"/>
  <c r="L115" i="34"/>
  <c r="L124" i="34"/>
  <c r="L123" i="34" s="1"/>
  <c r="S124" i="34"/>
  <c r="S123" i="34" s="1"/>
  <c r="S115" i="34"/>
  <c r="M124" i="34" l="1"/>
  <c r="M123" i="34" s="1"/>
  <c r="V118" i="34"/>
  <c r="V126" i="34"/>
  <c r="J123" i="34"/>
  <c r="J127" i="34" s="1"/>
  <c r="Q115" i="34"/>
  <c r="Q124" i="34"/>
  <c r="Q123" i="34" s="1"/>
  <c r="U107" i="34"/>
  <c r="U111" i="34" s="1"/>
  <c r="U116" i="34"/>
  <c r="K107" i="34"/>
  <c r="K116" i="34"/>
  <c r="V108" i="34"/>
  <c r="I12" i="33"/>
  <c r="I11" i="33"/>
  <c r="I10" i="33" l="1"/>
  <c r="K115" i="34"/>
  <c r="K124" i="34"/>
  <c r="V116" i="34"/>
  <c r="K111" i="34"/>
  <c r="V107" i="34"/>
  <c r="V111" i="34" s="1"/>
  <c r="U124" i="34"/>
  <c r="U123" i="34" s="1"/>
  <c r="U115" i="34"/>
  <c r="P92" i="33"/>
  <c r="O92" i="33"/>
  <c r="N92" i="33"/>
  <c r="M92" i="33"/>
  <c r="I82" i="33"/>
  <c r="I81" i="33" s="1"/>
  <c r="V80" i="33"/>
  <c r="W80" i="33"/>
  <c r="V79" i="33"/>
  <c r="I79" i="33"/>
  <c r="W78" i="33"/>
  <c r="V75" i="33"/>
  <c r="I75" i="33"/>
  <c r="W74" i="33"/>
  <c r="V74" i="33"/>
  <c r="I74" i="33"/>
  <c r="V72" i="33"/>
  <c r="W72" i="33"/>
  <c r="V71" i="33"/>
  <c r="W71" i="33"/>
  <c r="V70" i="33"/>
  <c r="W70" i="33"/>
  <c r="V69" i="33"/>
  <c r="V66" i="33"/>
  <c r="W66" i="33"/>
  <c r="V65" i="33"/>
  <c r="I65" i="33"/>
  <c r="V64" i="33"/>
  <c r="W64" i="33"/>
  <c r="W63" i="33"/>
  <c r="V60" i="33"/>
  <c r="W60" i="33"/>
  <c r="V59" i="33"/>
  <c r="I59" i="33"/>
  <c r="W58" i="33"/>
  <c r="I58" i="33"/>
  <c r="V56" i="33"/>
  <c r="W56" i="33"/>
  <c r="I53" i="33"/>
  <c r="W52" i="33"/>
  <c r="W51" i="33"/>
  <c r="V51" i="33"/>
  <c r="I51" i="33"/>
  <c r="W50" i="33"/>
  <c r="I49" i="33"/>
  <c r="W46" i="33"/>
  <c r="V46" i="33"/>
  <c r="I46" i="33"/>
  <c r="W45" i="33"/>
  <c r="V45" i="33"/>
  <c r="I45" i="33"/>
  <c r="W44" i="33"/>
  <c r="I44" i="33"/>
  <c r="V43" i="33"/>
  <c r="W42" i="33"/>
  <c r="V42" i="33"/>
  <c r="I42" i="33"/>
  <c r="W39" i="33"/>
  <c r="V39" i="33"/>
  <c r="V38" i="33"/>
  <c r="I37" i="33"/>
  <c r="V37" i="33"/>
  <c r="V34" i="33"/>
  <c r="V33" i="33"/>
  <c r="V32" i="33"/>
  <c r="I32" i="33"/>
  <c r="I29" i="33"/>
  <c r="V29" i="33"/>
  <c r="W25" i="33"/>
  <c r="V25" i="33"/>
  <c r="I25" i="33"/>
  <c r="W24" i="33"/>
  <c r="V24" i="33"/>
  <c r="V23" i="33"/>
  <c r="W20" i="33"/>
  <c r="I20" i="33"/>
  <c r="I19" i="33"/>
  <c r="W18" i="33"/>
  <c r="V18" i="33"/>
  <c r="I18" i="33"/>
  <c r="V15" i="33"/>
  <c r="V14" i="33"/>
  <c r="V12" i="33"/>
  <c r="V11" i="33"/>
  <c r="W9" i="33"/>
  <c r="T92" i="33"/>
  <c r="S92" i="33"/>
  <c r="R92" i="33"/>
  <c r="Q92" i="33"/>
  <c r="L92" i="33"/>
  <c r="K92" i="33"/>
  <c r="J92" i="33"/>
  <c r="W82" i="33"/>
  <c r="V78" i="33"/>
  <c r="W76" i="33"/>
  <c r="V76" i="33"/>
  <c r="I76" i="33"/>
  <c r="W75" i="33"/>
  <c r="W69" i="33"/>
  <c r="I69" i="33"/>
  <c r="V63" i="33"/>
  <c r="I63" i="33"/>
  <c r="W59" i="33"/>
  <c r="W57" i="33"/>
  <c r="V57" i="33"/>
  <c r="I57" i="33"/>
  <c r="X56" i="33"/>
  <c r="V53" i="33"/>
  <c r="V49" i="33"/>
  <c r="W43" i="33"/>
  <c r="I43" i="33"/>
  <c r="W38" i="33"/>
  <c r="W37" i="33"/>
  <c r="W33" i="33"/>
  <c r="I33" i="33"/>
  <c r="W32" i="33"/>
  <c r="W29" i="33"/>
  <c r="W30" i="33" s="1"/>
  <c r="W27" i="33"/>
  <c r="W28" i="33" s="1"/>
  <c r="W23" i="33"/>
  <c r="W19" i="33"/>
  <c r="V19" i="33"/>
  <c r="W15" i="33"/>
  <c r="I15" i="33"/>
  <c r="W12" i="33"/>
  <c r="W11" i="33"/>
  <c r="W8" i="33"/>
  <c r="V81" i="33" l="1"/>
  <c r="V92" i="33"/>
  <c r="V16" i="33"/>
  <c r="V13" i="33"/>
  <c r="V77" i="33"/>
  <c r="V30" i="33"/>
  <c r="I28" i="33"/>
  <c r="V115" i="34"/>
  <c r="V119" i="34" s="1"/>
  <c r="W120" i="34" s="1"/>
  <c r="K123" i="34"/>
  <c r="V123" i="34" s="1"/>
  <c r="V127" i="34" s="1"/>
  <c r="V124" i="34"/>
  <c r="U99" i="33"/>
  <c r="U106" i="33" s="1"/>
  <c r="U113" i="33" s="1"/>
  <c r="O99" i="33"/>
  <c r="O106" i="33" s="1"/>
  <c r="O113" i="33" s="1"/>
  <c r="P99" i="33"/>
  <c r="P106" i="33" s="1"/>
  <c r="P113" i="33" s="1"/>
  <c r="T99" i="33"/>
  <c r="T106" i="33" s="1"/>
  <c r="T113" i="33" s="1"/>
  <c r="J99" i="33"/>
  <c r="K99" i="33"/>
  <c r="K106" i="33" s="1"/>
  <c r="K113" i="33" s="1"/>
  <c r="R99" i="33"/>
  <c r="R106" i="33" s="1"/>
  <c r="R113" i="33" s="1"/>
  <c r="S99" i="33"/>
  <c r="S106" i="33" s="1"/>
  <c r="S113" i="33" s="1"/>
  <c r="L99" i="33"/>
  <c r="L106" i="33" s="1"/>
  <c r="L113" i="33" s="1"/>
  <c r="M99" i="33"/>
  <c r="M106" i="33" s="1"/>
  <c r="M113" i="33" s="1"/>
  <c r="Q99" i="33"/>
  <c r="Q106" i="33" s="1"/>
  <c r="Q113" i="33" s="1"/>
  <c r="N99" i="33"/>
  <c r="N106" i="33" s="1"/>
  <c r="N113" i="33" s="1"/>
  <c r="X83" i="33"/>
  <c r="I73" i="33"/>
  <c r="I78" i="33"/>
  <c r="W79" i="33"/>
  <c r="I80" i="33"/>
  <c r="W77" i="33"/>
  <c r="I72" i="33"/>
  <c r="I71" i="33"/>
  <c r="I70" i="33"/>
  <c r="W65" i="33"/>
  <c r="I64" i="33"/>
  <c r="I66" i="33"/>
  <c r="I56" i="33"/>
  <c r="I60" i="33"/>
  <c r="W49" i="33"/>
  <c r="W53" i="33"/>
  <c r="I50" i="33"/>
  <c r="I52" i="33"/>
  <c r="V44" i="33"/>
  <c r="I38" i="33"/>
  <c r="I39" i="33"/>
  <c r="I34" i="33"/>
  <c r="W34" i="33"/>
  <c r="I27" i="33"/>
  <c r="I26" i="33" s="1"/>
  <c r="V27" i="33"/>
  <c r="I23" i="33"/>
  <c r="I24" i="33"/>
  <c r="V20" i="33"/>
  <c r="W13" i="33"/>
  <c r="I9" i="33"/>
  <c r="V9" i="33"/>
  <c r="V8" i="33"/>
  <c r="X8" i="33" s="1"/>
  <c r="V58" i="33"/>
  <c r="AA3" i="18"/>
  <c r="I77" i="33" l="1"/>
  <c r="X30" i="33"/>
  <c r="V28" i="33"/>
  <c r="W81" i="33"/>
  <c r="X81" i="33" s="1"/>
  <c r="J106" i="33"/>
  <c r="V99" i="33"/>
  <c r="X77" i="33"/>
  <c r="X9" i="33"/>
  <c r="X10" i="33" s="1"/>
  <c r="V106" i="33" l="1"/>
  <c r="J113" i="33"/>
  <c r="V113" i="33" s="1"/>
  <c r="X28" i="33"/>
  <c r="Z3" i="18" l="1"/>
  <c r="AB3" i="18" s="1"/>
  <c r="R11" i="19" l="1"/>
  <c r="R18" i="19" s="1"/>
  <c r="R25" i="19" s="1"/>
  <c r="R33" i="19" s="1"/>
  <c r="R41" i="19" s="1"/>
  <c r="R47" i="19" s="1"/>
  <c r="R54" i="19" s="1"/>
  <c r="R62" i="19" s="1"/>
  <c r="R70" i="19" s="1"/>
  <c r="R80" i="19" s="1"/>
  <c r="R90" i="19" s="1"/>
  <c r="R101" i="19" s="1"/>
  <c r="R110" i="19" s="1"/>
  <c r="R119" i="19" s="1"/>
  <c r="R126" i="19" s="1"/>
  <c r="R133" i="19" s="1"/>
  <c r="O11" i="19"/>
  <c r="O18" i="19" s="1"/>
  <c r="O25" i="19" s="1"/>
  <c r="O33" i="19" s="1"/>
  <c r="O41" i="19" s="1"/>
  <c r="O47" i="19" s="1"/>
  <c r="O54" i="19" s="1"/>
  <c r="O62" i="19" s="1"/>
  <c r="O70" i="19" s="1"/>
  <c r="O80" i="19" s="1"/>
  <c r="O90" i="19" s="1"/>
  <c r="O101" i="19" s="1"/>
  <c r="O110" i="19" s="1"/>
  <c r="O119" i="19" s="1"/>
  <c r="O126" i="19" s="1"/>
  <c r="O133" i="19" s="1"/>
  <c r="Q156" i="19" l="1"/>
  <c r="Q155" i="19"/>
  <c r="Q154" i="19"/>
  <c r="Q153" i="19"/>
  <c r="Q152" i="19"/>
  <c r="Q151" i="19"/>
  <c r="Q150" i="19"/>
  <c r="Q149" i="19"/>
  <c r="Q148" i="19"/>
  <c r="L6" i="19" l="1"/>
  <c r="M3" i="38" l="1"/>
  <c r="M7" i="38"/>
  <c r="N7" i="38"/>
  <c r="O7" i="38"/>
  <c r="P7" i="38"/>
  <c r="Q7" i="38"/>
  <c r="R7" i="38"/>
  <c r="S7" i="38"/>
  <c r="T7" i="38"/>
  <c r="L7" i="38"/>
  <c r="T3" i="38"/>
  <c r="P3" i="38"/>
  <c r="L3" i="38"/>
  <c r="N3" i="38"/>
  <c r="S3" i="38"/>
  <c r="O3" i="38"/>
  <c r="R3" i="38"/>
  <c r="Q3" i="38"/>
  <c r="O3" i="37"/>
  <c r="R3" i="37"/>
  <c r="S3" i="37"/>
  <c r="T3" i="37"/>
  <c r="L3" i="37"/>
  <c r="M3" i="37"/>
  <c r="P3" i="37"/>
  <c r="N3" i="37"/>
  <c r="Q3" i="37"/>
  <c r="O6" i="19"/>
  <c r="L58" i="18"/>
  <c r="K12" i="18"/>
  <c r="M135" i="19"/>
  <c r="P135" i="19" s="1"/>
  <c r="S135" i="19" s="1"/>
  <c r="V135" i="19" s="1"/>
  <c r="Y135" i="19" s="1"/>
  <c r="L135" i="19"/>
  <c r="O135" i="19" s="1"/>
  <c r="R135" i="19" s="1"/>
  <c r="U135" i="19" s="1"/>
  <c r="X135" i="19" s="1"/>
  <c r="M129" i="19"/>
  <c r="P129" i="19" s="1"/>
  <c r="S129" i="19" s="1"/>
  <c r="V129" i="19" s="1"/>
  <c r="Y129" i="19" s="1"/>
  <c r="M130" i="19"/>
  <c r="P130" i="19" s="1"/>
  <c r="S130" i="19" s="1"/>
  <c r="V130" i="19" s="1"/>
  <c r="Y130" i="19" s="1"/>
  <c r="L129" i="19"/>
  <c r="O129" i="19" s="1"/>
  <c r="R129" i="19" s="1"/>
  <c r="U129" i="19" s="1"/>
  <c r="X129" i="19" s="1"/>
  <c r="L130" i="19"/>
  <c r="O130" i="19" s="1"/>
  <c r="R130" i="19" s="1"/>
  <c r="U130" i="19" s="1"/>
  <c r="X130" i="19" s="1"/>
  <c r="M128" i="19"/>
  <c r="P128" i="19" s="1"/>
  <c r="S128" i="19" s="1"/>
  <c r="V128" i="19" s="1"/>
  <c r="Y128" i="19" s="1"/>
  <c r="L128" i="19"/>
  <c r="O128" i="19" s="1"/>
  <c r="R128" i="19" s="1"/>
  <c r="M122" i="19"/>
  <c r="P122" i="19" s="1"/>
  <c r="S122" i="19" s="1"/>
  <c r="V122" i="19" s="1"/>
  <c r="Y122" i="19" s="1"/>
  <c r="M123" i="19"/>
  <c r="P123" i="19" s="1"/>
  <c r="S123" i="19" s="1"/>
  <c r="V123" i="19" s="1"/>
  <c r="Y123" i="19" s="1"/>
  <c r="L122" i="19"/>
  <c r="O122" i="19" s="1"/>
  <c r="R122" i="19" s="1"/>
  <c r="U122" i="19" s="1"/>
  <c r="X122" i="19" s="1"/>
  <c r="L123" i="19"/>
  <c r="O123" i="19" s="1"/>
  <c r="R123" i="19" s="1"/>
  <c r="U123" i="19" s="1"/>
  <c r="X123" i="19" s="1"/>
  <c r="M121" i="19"/>
  <c r="P121" i="19" s="1"/>
  <c r="S121" i="19" s="1"/>
  <c r="V121" i="19" s="1"/>
  <c r="Y121" i="19" s="1"/>
  <c r="L121" i="19"/>
  <c r="O121" i="19" s="1"/>
  <c r="R121" i="19" s="1"/>
  <c r="U121" i="19" s="1"/>
  <c r="X121" i="19" s="1"/>
  <c r="M113" i="19"/>
  <c r="P113" i="19" s="1"/>
  <c r="S113" i="19" s="1"/>
  <c r="V113" i="19" s="1"/>
  <c r="Y113" i="19" s="1"/>
  <c r="M114" i="19"/>
  <c r="P114" i="19" s="1"/>
  <c r="S114" i="19" s="1"/>
  <c r="V114" i="19" s="1"/>
  <c r="Y114" i="19" s="1"/>
  <c r="M115" i="19"/>
  <c r="P115" i="19" s="1"/>
  <c r="S115" i="19" s="1"/>
  <c r="V115" i="19" s="1"/>
  <c r="Y115" i="19" s="1"/>
  <c r="M116" i="19"/>
  <c r="P116" i="19" s="1"/>
  <c r="S116" i="19" s="1"/>
  <c r="V116" i="19" s="1"/>
  <c r="Y116" i="19" s="1"/>
  <c r="L113" i="19"/>
  <c r="O113" i="19" s="1"/>
  <c r="R113" i="19" s="1"/>
  <c r="U113" i="19" s="1"/>
  <c r="X113" i="19" s="1"/>
  <c r="L114" i="19"/>
  <c r="O114" i="19" s="1"/>
  <c r="R114" i="19" s="1"/>
  <c r="U114" i="19" s="1"/>
  <c r="X114" i="19" s="1"/>
  <c r="L115" i="19"/>
  <c r="O115" i="19" s="1"/>
  <c r="R115" i="19" s="1"/>
  <c r="U115" i="19" s="1"/>
  <c r="X115" i="19" s="1"/>
  <c r="L116" i="19"/>
  <c r="O116" i="19" s="1"/>
  <c r="R116" i="19" s="1"/>
  <c r="U116" i="19" s="1"/>
  <c r="X116" i="19" s="1"/>
  <c r="M112" i="19"/>
  <c r="P112" i="19" s="1"/>
  <c r="S112" i="19" s="1"/>
  <c r="V112" i="19" s="1"/>
  <c r="L112" i="19"/>
  <c r="O112" i="19" s="1"/>
  <c r="L104" i="19"/>
  <c r="O104" i="19" s="1"/>
  <c r="R104" i="19" s="1"/>
  <c r="U104" i="19" s="1"/>
  <c r="X104" i="19" s="1"/>
  <c r="M104" i="19"/>
  <c r="P104" i="19" s="1"/>
  <c r="S104" i="19" s="1"/>
  <c r="V104" i="19" s="1"/>
  <c r="Y104" i="19" s="1"/>
  <c r="L105" i="19"/>
  <c r="O105" i="19" s="1"/>
  <c r="R105" i="19" s="1"/>
  <c r="U105" i="19" s="1"/>
  <c r="X105" i="19" s="1"/>
  <c r="M105" i="19"/>
  <c r="P105" i="19" s="1"/>
  <c r="S105" i="19" s="1"/>
  <c r="V105" i="19" s="1"/>
  <c r="Y105" i="19" s="1"/>
  <c r="L106" i="19"/>
  <c r="O106" i="19" s="1"/>
  <c r="R106" i="19" s="1"/>
  <c r="U106" i="19" s="1"/>
  <c r="X106" i="19" s="1"/>
  <c r="M106" i="19"/>
  <c r="P106" i="19" s="1"/>
  <c r="S106" i="19" s="1"/>
  <c r="V106" i="19" s="1"/>
  <c r="Y106" i="19" s="1"/>
  <c r="L107" i="19"/>
  <c r="O107" i="19" s="1"/>
  <c r="R107" i="19" s="1"/>
  <c r="U107" i="19" s="1"/>
  <c r="X107" i="19" s="1"/>
  <c r="M107" i="19"/>
  <c r="P107" i="19" s="1"/>
  <c r="S107" i="19" s="1"/>
  <c r="V107" i="19" s="1"/>
  <c r="Y107" i="19" s="1"/>
  <c r="M103" i="19"/>
  <c r="P103" i="19" s="1"/>
  <c r="S103" i="19" s="1"/>
  <c r="V103" i="19" s="1"/>
  <c r="L103" i="19"/>
  <c r="O103" i="19" s="1"/>
  <c r="M92" i="19"/>
  <c r="P92" i="19" s="1"/>
  <c r="S92" i="19" s="1"/>
  <c r="V92" i="19" s="1"/>
  <c r="M93" i="19"/>
  <c r="P93" i="19" s="1"/>
  <c r="S93" i="19" s="1"/>
  <c r="V93" i="19" s="1"/>
  <c r="Y93" i="19" s="1"/>
  <c r="M94" i="19"/>
  <c r="P94" i="19" s="1"/>
  <c r="S94" i="19" s="1"/>
  <c r="V94" i="19" s="1"/>
  <c r="Y94" i="19" s="1"/>
  <c r="M95" i="19"/>
  <c r="P95" i="19" s="1"/>
  <c r="S95" i="19" s="1"/>
  <c r="V95" i="19" s="1"/>
  <c r="Y95" i="19" s="1"/>
  <c r="M96" i="19"/>
  <c r="P96" i="19" s="1"/>
  <c r="S96" i="19" s="1"/>
  <c r="V96" i="19" s="1"/>
  <c r="Y96" i="19" s="1"/>
  <c r="M97" i="19"/>
  <c r="P97" i="19" s="1"/>
  <c r="S97" i="19" s="1"/>
  <c r="V97" i="19" s="1"/>
  <c r="Y97" i="19" s="1"/>
  <c r="L93" i="19"/>
  <c r="O93" i="19" s="1"/>
  <c r="R93" i="19" s="1"/>
  <c r="U93" i="19" s="1"/>
  <c r="X93" i="19" s="1"/>
  <c r="L94" i="19"/>
  <c r="O94" i="19" s="1"/>
  <c r="R94" i="19" s="1"/>
  <c r="U94" i="19" s="1"/>
  <c r="X94" i="19" s="1"/>
  <c r="L95" i="19"/>
  <c r="O95" i="19" s="1"/>
  <c r="R95" i="19" s="1"/>
  <c r="U95" i="19" s="1"/>
  <c r="X95" i="19" s="1"/>
  <c r="L96" i="19"/>
  <c r="O96" i="19" s="1"/>
  <c r="R96" i="19" s="1"/>
  <c r="U96" i="19" s="1"/>
  <c r="X96" i="19" s="1"/>
  <c r="L97" i="19"/>
  <c r="O97" i="19" s="1"/>
  <c r="R97" i="19" s="1"/>
  <c r="U97" i="19" s="1"/>
  <c r="X97" i="19" s="1"/>
  <c r="L92" i="19"/>
  <c r="O92" i="19" s="1"/>
  <c r="L83" i="19"/>
  <c r="O83" i="19" s="1"/>
  <c r="R83" i="19" s="1"/>
  <c r="U83" i="19" s="1"/>
  <c r="X83" i="19" s="1"/>
  <c r="M83" i="19"/>
  <c r="P83" i="19" s="1"/>
  <c r="S83" i="19" s="1"/>
  <c r="V83" i="19" s="1"/>
  <c r="Y83" i="19" s="1"/>
  <c r="L84" i="19"/>
  <c r="O84" i="19" s="1"/>
  <c r="R84" i="19" s="1"/>
  <c r="U84" i="19" s="1"/>
  <c r="X84" i="19" s="1"/>
  <c r="M84" i="19"/>
  <c r="P84" i="19" s="1"/>
  <c r="S84" i="19" s="1"/>
  <c r="V84" i="19" s="1"/>
  <c r="Y84" i="19" s="1"/>
  <c r="L85" i="19"/>
  <c r="O85" i="19" s="1"/>
  <c r="R85" i="19" s="1"/>
  <c r="U85" i="19" s="1"/>
  <c r="X85" i="19" s="1"/>
  <c r="M85" i="19"/>
  <c r="P85" i="19" s="1"/>
  <c r="S85" i="19" s="1"/>
  <c r="V85" i="19" s="1"/>
  <c r="Y85" i="19" s="1"/>
  <c r="L86" i="19"/>
  <c r="O86" i="19" s="1"/>
  <c r="R86" i="19" s="1"/>
  <c r="U86" i="19" s="1"/>
  <c r="X86" i="19" s="1"/>
  <c r="M86" i="19"/>
  <c r="P86" i="19" s="1"/>
  <c r="S86" i="19" s="1"/>
  <c r="V86" i="19" s="1"/>
  <c r="Y86" i="19" s="1"/>
  <c r="L87" i="19"/>
  <c r="O87" i="19" s="1"/>
  <c r="R87" i="19" s="1"/>
  <c r="U87" i="19" s="1"/>
  <c r="X87" i="19" s="1"/>
  <c r="M87" i="19"/>
  <c r="P87" i="19" s="1"/>
  <c r="S87" i="19" s="1"/>
  <c r="V87" i="19" s="1"/>
  <c r="Y87" i="19" s="1"/>
  <c r="M82" i="19"/>
  <c r="P82" i="19" s="1"/>
  <c r="S82" i="19" s="1"/>
  <c r="V82" i="19" s="1"/>
  <c r="L82" i="19"/>
  <c r="O82" i="19" s="1"/>
  <c r="M73" i="19"/>
  <c r="P73" i="19" s="1"/>
  <c r="S73" i="19" s="1"/>
  <c r="V73" i="19" s="1"/>
  <c r="Y73" i="19" s="1"/>
  <c r="M74" i="19"/>
  <c r="P74" i="19" s="1"/>
  <c r="S74" i="19" s="1"/>
  <c r="V74" i="19" s="1"/>
  <c r="Y74" i="19" s="1"/>
  <c r="M75" i="19"/>
  <c r="P75" i="19" s="1"/>
  <c r="S75" i="19" s="1"/>
  <c r="V75" i="19" s="1"/>
  <c r="Y75" i="19" s="1"/>
  <c r="M76" i="19"/>
  <c r="P76" i="19" s="1"/>
  <c r="S76" i="19" s="1"/>
  <c r="V76" i="19" s="1"/>
  <c r="Y76" i="19" s="1"/>
  <c r="M77" i="19"/>
  <c r="P77" i="19" s="1"/>
  <c r="S77" i="19" s="1"/>
  <c r="V77" i="19" s="1"/>
  <c r="Y77" i="19" s="1"/>
  <c r="L73" i="19"/>
  <c r="O73" i="19" s="1"/>
  <c r="R73" i="19" s="1"/>
  <c r="U73" i="19" s="1"/>
  <c r="X73" i="19" s="1"/>
  <c r="L74" i="19"/>
  <c r="O74" i="19" s="1"/>
  <c r="R74" i="19" s="1"/>
  <c r="U74" i="19" s="1"/>
  <c r="X74" i="19" s="1"/>
  <c r="L75" i="19"/>
  <c r="O75" i="19" s="1"/>
  <c r="R75" i="19" s="1"/>
  <c r="U75" i="19" s="1"/>
  <c r="X75" i="19" s="1"/>
  <c r="L76" i="19"/>
  <c r="O76" i="19" s="1"/>
  <c r="R76" i="19" s="1"/>
  <c r="U76" i="19" s="1"/>
  <c r="X76" i="19" s="1"/>
  <c r="L77" i="19"/>
  <c r="O77" i="19" s="1"/>
  <c r="R77" i="19" s="1"/>
  <c r="U77" i="19" s="1"/>
  <c r="X77" i="19" s="1"/>
  <c r="M72" i="19"/>
  <c r="P72" i="19" s="1"/>
  <c r="S72" i="19" s="1"/>
  <c r="V72" i="19" s="1"/>
  <c r="Y72" i="19" s="1"/>
  <c r="L72" i="19"/>
  <c r="O72" i="19" s="1"/>
  <c r="M57" i="19"/>
  <c r="P57" i="19" s="1"/>
  <c r="S57" i="19" s="1"/>
  <c r="V57" i="19" s="1"/>
  <c r="Y57" i="19" s="1"/>
  <c r="M58" i="19"/>
  <c r="P58" i="19" s="1"/>
  <c r="S58" i="19" s="1"/>
  <c r="V58" i="19" s="1"/>
  <c r="Y58" i="19" s="1"/>
  <c r="M59" i="19"/>
  <c r="P59" i="19" s="1"/>
  <c r="S59" i="19" s="1"/>
  <c r="V59" i="19" s="1"/>
  <c r="Y59" i="19" s="1"/>
  <c r="L57" i="19"/>
  <c r="O57" i="19" s="1"/>
  <c r="R57" i="19" s="1"/>
  <c r="L58" i="19"/>
  <c r="O58" i="19" s="1"/>
  <c r="R58" i="19" s="1"/>
  <c r="U58" i="19" s="1"/>
  <c r="X58" i="19" s="1"/>
  <c r="L59" i="19"/>
  <c r="O59" i="19" s="1"/>
  <c r="R59" i="19" s="1"/>
  <c r="U59" i="19" s="1"/>
  <c r="X59" i="19" s="1"/>
  <c r="M56" i="19"/>
  <c r="P56" i="19" s="1"/>
  <c r="L56" i="19"/>
  <c r="O56" i="19" s="1"/>
  <c r="M50" i="19"/>
  <c r="P50" i="19" s="1"/>
  <c r="S50" i="19" s="1"/>
  <c r="V50" i="19" s="1"/>
  <c r="Y50" i="19" s="1"/>
  <c r="L50" i="19"/>
  <c r="O50" i="19" s="1"/>
  <c r="R50" i="19" s="1"/>
  <c r="M44" i="19"/>
  <c r="P44" i="19" s="1"/>
  <c r="S44" i="19" s="1"/>
  <c r="V44" i="19" s="1"/>
  <c r="Y44" i="19" s="1"/>
  <c r="L44" i="19"/>
  <c r="O44" i="19" s="1"/>
  <c r="R44" i="19" s="1"/>
  <c r="L36" i="19"/>
  <c r="O36" i="19" s="1"/>
  <c r="R36" i="19" s="1"/>
  <c r="U36" i="19" s="1"/>
  <c r="X36" i="19" s="1"/>
  <c r="M36" i="19"/>
  <c r="P36" i="19" s="1"/>
  <c r="S36" i="19" s="1"/>
  <c r="V36" i="19" s="1"/>
  <c r="Y36" i="19" s="1"/>
  <c r="L37" i="19"/>
  <c r="O37" i="19" s="1"/>
  <c r="R37" i="19" s="1"/>
  <c r="U37" i="19" s="1"/>
  <c r="M37" i="19"/>
  <c r="P37" i="19" s="1"/>
  <c r="S37" i="19" s="1"/>
  <c r="V37" i="19" s="1"/>
  <c r="Y37" i="19" s="1"/>
  <c r="L38" i="19"/>
  <c r="O38" i="19" s="1"/>
  <c r="R38" i="19" s="1"/>
  <c r="U38" i="19" s="1"/>
  <c r="X38" i="19" s="1"/>
  <c r="M38" i="19"/>
  <c r="P38" i="19" s="1"/>
  <c r="S38" i="19" s="1"/>
  <c r="V38" i="19" s="1"/>
  <c r="Y38" i="19" s="1"/>
  <c r="M35" i="19"/>
  <c r="P35" i="19" s="1"/>
  <c r="S35" i="19" s="1"/>
  <c r="L35" i="19"/>
  <c r="O35" i="19" s="1"/>
  <c r="L28" i="19"/>
  <c r="O28" i="19" s="1"/>
  <c r="R28" i="19" s="1"/>
  <c r="U28" i="19" s="1"/>
  <c r="X28" i="19" s="1"/>
  <c r="M28" i="19"/>
  <c r="P28" i="19" s="1"/>
  <c r="S28" i="19" s="1"/>
  <c r="V28" i="19" s="1"/>
  <c r="Y28" i="19" s="1"/>
  <c r="L29" i="19"/>
  <c r="O29" i="19" s="1"/>
  <c r="R29" i="19" s="1"/>
  <c r="U29" i="19" s="1"/>
  <c r="X29" i="19" s="1"/>
  <c r="M29" i="19"/>
  <c r="P29" i="19" s="1"/>
  <c r="S29" i="19" s="1"/>
  <c r="V29" i="19" s="1"/>
  <c r="Y29" i="19" s="1"/>
  <c r="L30" i="19"/>
  <c r="O30" i="19" s="1"/>
  <c r="R30" i="19" s="1"/>
  <c r="U30" i="19" s="1"/>
  <c r="X30" i="19" s="1"/>
  <c r="M30" i="19"/>
  <c r="P30" i="19" s="1"/>
  <c r="S30" i="19" s="1"/>
  <c r="V30" i="19" s="1"/>
  <c r="Y30" i="19" s="1"/>
  <c r="M27" i="19"/>
  <c r="P27" i="19" s="1"/>
  <c r="S27" i="19" s="1"/>
  <c r="L27" i="19"/>
  <c r="O27" i="19" s="1"/>
  <c r="L22" i="19"/>
  <c r="O22" i="19" s="1"/>
  <c r="R22" i="19" s="1"/>
  <c r="U22" i="19" s="1"/>
  <c r="X22" i="19" s="1"/>
  <c r="M22" i="19"/>
  <c r="P22" i="19" s="1"/>
  <c r="S22" i="19" s="1"/>
  <c r="V22" i="19" s="1"/>
  <c r="Y22" i="19" s="1"/>
  <c r="M21" i="19"/>
  <c r="P21" i="19" s="1"/>
  <c r="S21" i="19" s="1"/>
  <c r="V21" i="19" s="1"/>
  <c r="Y21" i="19" s="1"/>
  <c r="L21" i="19"/>
  <c r="O21" i="19" s="1"/>
  <c r="R21" i="19" s="1"/>
  <c r="U21" i="19" s="1"/>
  <c r="X21" i="19" s="1"/>
  <c r="L15" i="19"/>
  <c r="M15" i="19"/>
  <c r="M14" i="19"/>
  <c r="L14" i="19"/>
  <c r="M6" i="19"/>
  <c r="M7" i="19"/>
  <c r="P7" i="19" s="1"/>
  <c r="S7" i="19" s="1"/>
  <c r="V7" i="19" s="1"/>
  <c r="Y7" i="19" s="1"/>
  <c r="M8" i="19"/>
  <c r="P8" i="19" s="1"/>
  <c r="S8" i="19" s="1"/>
  <c r="V8" i="19" s="1"/>
  <c r="Y8" i="19" s="1"/>
  <c r="L7" i="19"/>
  <c r="O7" i="19" s="1"/>
  <c r="R7" i="19" s="1"/>
  <c r="U7" i="19" s="1"/>
  <c r="X7" i="19" s="1"/>
  <c r="L8" i="19"/>
  <c r="O8" i="19" s="1"/>
  <c r="R8" i="19" s="1"/>
  <c r="U8" i="19" s="1"/>
  <c r="X8" i="19" s="1"/>
  <c r="V52" i="18"/>
  <c r="V50" i="18"/>
  <c r="X37" i="19" l="1"/>
  <c r="V43" i="19"/>
  <c r="R17" i="39"/>
  <c r="U17" i="39"/>
  <c r="P17" i="39"/>
  <c r="S17" i="39"/>
  <c r="T17" i="39"/>
  <c r="L17" i="39"/>
  <c r="M17" i="39"/>
  <c r="J17" i="39"/>
  <c r="K17" i="39"/>
  <c r="N17" i="39"/>
  <c r="O17" i="39"/>
  <c r="Q17" i="39"/>
  <c r="R22" i="39"/>
  <c r="T22" i="39"/>
  <c r="S22" i="39"/>
  <c r="U22" i="39"/>
  <c r="J22" i="39"/>
  <c r="K22" i="39"/>
  <c r="M22" i="39"/>
  <c r="N22" i="39"/>
  <c r="O22" i="39"/>
  <c r="P22" i="39"/>
  <c r="Q22" i="39"/>
  <c r="L22" i="39"/>
  <c r="W8" i="19"/>
  <c r="Y92" i="19"/>
  <c r="T59" i="41"/>
  <c r="U59" i="41"/>
  <c r="J59" i="41"/>
  <c r="K59" i="41"/>
  <c r="L59" i="41"/>
  <c r="M59" i="41"/>
  <c r="N59" i="41"/>
  <c r="O59" i="41"/>
  <c r="P59" i="41"/>
  <c r="Q59" i="41"/>
  <c r="R59" i="41"/>
  <c r="S59" i="41"/>
  <c r="Y112" i="19"/>
  <c r="T72" i="41"/>
  <c r="U72" i="41"/>
  <c r="J72" i="41"/>
  <c r="K72" i="41"/>
  <c r="L72" i="41"/>
  <c r="M72" i="41"/>
  <c r="N72" i="41"/>
  <c r="O72" i="41"/>
  <c r="P72" i="41"/>
  <c r="Q72" i="41"/>
  <c r="R72" i="41"/>
  <c r="S72" i="41"/>
  <c r="K52" i="41"/>
  <c r="L52" i="41"/>
  <c r="M52" i="41"/>
  <c r="N52" i="41"/>
  <c r="O52" i="41"/>
  <c r="P52" i="41"/>
  <c r="Q52" i="41"/>
  <c r="R52" i="41"/>
  <c r="S52" i="41"/>
  <c r="T52" i="41"/>
  <c r="U52" i="41"/>
  <c r="Y103" i="19"/>
  <c r="T66" i="41"/>
  <c r="U66" i="41"/>
  <c r="J66" i="41"/>
  <c r="K66" i="41"/>
  <c r="L66" i="41"/>
  <c r="M66" i="41"/>
  <c r="N66" i="41"/>
  <c r="O66" i="41"/>
  <c r="P66" i="41"/>
  <c r="Q66" i="41"/>
  <c r="R66" i="41"/>
  <c r="S66" i="41"/>
  <c r="Q90" i="38"/>
  <c r="Q92" i="38" s="1"/>
  <c r="Y82" i="19"/>
  <c r="J52" i="41"/>
  <c r="V35" i="19"/>
  <c r="W58" i="19"/>
  <c r="W7" i="19"/>
  <c r="V27" i="19"/>
  <c r="W122" i="19"/>
  <c r="R3" i="40"/>
  <c r="R7" i="40"/>
  <c r="Q3" i="40"/>
  <c r="S7" i="40"/>
  <c r="S3" i="40"/>
  <c r="T7" i="40"/>
  <c r="L3" i="40"/>
  <c r="N3" i="40"/>
  <c r="O3" i="40"/>
  <c r="P3" i="40"/>
  <c r="T3" i="40"/>
  <c r="L7" i="40"/>
  <c r="M7" i="40"/>
  <c r="N7" i="40"/>
  <c r="O7" i="40"/>
  <c r="P7" i="40"/>
  <c r="Q7" i="40"/>
  <c r="M3" i="40"/>
  <c r="P90" i="38"/>
  <c r="P92" i="38" s="1"/>
  <c r="U57" i="19"/>
  <c r="T57" i="19" s="1"/>
  <c r="V7" i="38"/>
  <c r="V10" i="38" s="1"/>
  <c r="W74" i="19"/>
  <c r="W93" i="19"/>
  <c r="W104" i="19"/>
  <c r="W123" i="19"/>
  <c r="W29" i="19"/>
  <c r="W28" i="19"/>
  <c r="W106" i="19"/>
  <c r="W107" i="19"/>
  <c r="W59" i="19"/>
  <c r="W73" i="19"/>
  <c r="W83" i="19"/>
  <c r="W21" i="19"/>
  <c r="W121" i="19"/>
  <c r="W135" i="19"/>
  <c r="W136" i="19" s="1"/>
  <c r="W30" i="19"/>
  <c r="W115" i="19"/>
  <c r="W87" i="19"/>
  <c r="W75" i="19"/>
  <c r="W94" i="19"/>
  <c r="W130" i="19"/>
  <c r="W86" i="19"/>
  <c r="W129" i="19"/>
  <c r="W38" i="19"/>
  <c r="W84" i="19"/>
  <c r="W105" i="19"/>
  <c r="W36" i="19"/>
  <c r="W116" i="19"/>
  <c r="W85" i="19"/>
  <c r="W37" i="19"/>
  <c r="W97" i="19"/>
  <c r="W77" i="19"/>
  <c r="W96" i="19"/>
  <c r="W114" i="19"/>
  <c r="W22" i="19"/>
  <c r="W76" i="19"/>
  <c r="W95" i="19"/>
  <c r="W113" i="19"/>
  <c r="T90" i="38"/>
  <c r="T92" i="38" s="1"/>
  <c r="O90" i="38"/>
  <c r="O92" i="38" s="1"/>
  <c r="N90" i="38"/>
  <c r="N92" i="38" s="1"/>
  <c r="R90" i="38"/>
  <c r="R92" i="38" s="1"/>
  <c r="K7" i="38"/>
  <c r="U7" i="38"/>
  <c r="J7" i="38"/>
  <c r="U3" i="38"/>
  <c r="J3" i="38"/>
  <c r="K3" i="38"/>
  <c r="U3" i="37"/>
  <c r="K3" i="37"/>
  <c r="J3" i="37"/>
  <c r="S90" i="38"/>
  <c r="S92" i="38" s="1"/>
  <c r="V3" i="38"/>
  <c r="L90" i="38"/>
  <c r="L92" i="38" s="1"/>
  <c r="M90" i="38"/>
  <c r="M92" i="38" s="1"/>
  <c r="L3" i="33"/>
  <c r="M3" i="33"/>
  <c r="N3" i="33"/>
  <c r="O3" i="33"/>
  <c r="P3" i="33"/>
  <c r="S3" i="33"/>
  <c r="T3" i="33"/>
  <c r="Q3" i="33"/>
  <c r="R3" i="33"/>
  <c r="R7" i="33"/>
  <c r="S7" i="33"/>
  <c r="T7" i="33"/>
  <c r="L7" i="33"/>
  <c r="M7" i="33"/>
  <c r="N7" i="33"/>
  <c r="O7" i="33"/>
  <c r="P7" i="33"/>
  <c r="Q7" i="33"/>
  <c r="T59" i="19"/>
  <c r="T74" i="19"/>
  <c r="T8" i="19"/>
  <c r="T93" i="19"/>
  <c r="R35" i="19"/>
  <c r="U35" i="19" s="1"/>
  <c r="P22" i="18"/>
  <c r="Q22" i="18"/>
  <c r="R22" i="18"/>
  <c r="S22" i="18"/>
  <c r="T22" i="18"/>
  <c r="U22" i="18"/>
  <c r="K22" i="18"/>
  <c r="J22" i="18"/>
  <c r="L22" i="18"/>
  <c r="M22" i="18"/>
  <c r="N22" i="18"/>
  <c r="O22" i="18"/>
  <c r="O31" i="18"/>
  <c r="P31" i="18"/>
  <c r="Q31" i="18"/>
  <c r="R31" i="18"/>
  <c r="S31" i="18"/>
  <c r="T31" i="18"/>
  <c r="U31" i="18"/>
  <c r="J31" i="18"/>
  <c r="K31" i="18"/>
  <c r="L31" i="18"/>
  <c r="M31" i="18"/>
  <c r="N31" i="18"/>
  <c r="R112" i="19"/>
  <c r="M68" i="18"/>
  <c r="O68" i="18"/>
  <c r="P68" i="18"/>
  <c r="Q68" i="18"/>
  <c r="R68" i="18"/>
  <c r="S68" i="18"/>
  <c r="T68" i="18"/>
  <c r="U68" i="18"/>
  <c r="J68" i="18"/>
  <c r="K68" i="18"/>
  <c r="L68" i="18"/>
  <c r="N68" i="18"/>
  <c r="R27" i="19"/>
  <c r="U27" i="19" s="1"/>
  <c r="O17" i="18"/>
  <c r="P17" i="18"/>
  <c r="Q17" i="18"/>
  <c r="R17" i="18"/>
  <c r="S17" i="18"/>
  <c r="T17" i="18"/>
  <c r="U17" i="18"/>
  <c r="J17" i="18"/>
  <c r="K17" i="18"/>
  <c r="M17" i="18"/>
  <c r="N17" i="18"/>
  <c r="L17" i="18"/>
  <c r="R72" i="19"/>
  <c r="O41" i="18"/>
  <c r="P41" i="18"/>
  <c r="Q41" i="18"/>
  <c r="R41" i="18"/>
  <c r="S41" i="18"/>
  <c r="T41" i="18"/>
  <c r="U41" i="18"/>
  <c r="J41" i="18"/>
  <c r="K41" i="18"/>
  <c r="M41" i="18"/>
  <c r="N41" i="18"/>
  <c r="L41" i="18"/>
  <c r="R82" i="19"/>
  <c r="O48" i="18"/>
  <c r="P48" i="18"/>
  <c r="Q48" i="18"/>
  <c r="R48" i="18"/>
  <c r="S48" i="18"/>
  <c r="T48" i="18"/>
  <c r="U48" i="18"/>
  <c r="J48" i="18"/>
  <c r="K48" i="18"/>
  <c r="L48" i="18"/>
  <c r="M48" i="18"/>
  <c r="N48" i="18"/>
  <c r="R92" i="19"/>
  <c r="O55" i="18"/>
  <c r="P55" i="18"/>
  <c r="Q55" i="18"/>
  <c r="R55" i="18"/>
  <c r="S55" i="18"/>
  <c r="T55" i="18"/>
  <c r="U55" i="18"/>
  <c r="J55" i="18"/>
  <c r="K55" i="18"/>
  <c r="L55" i="18"/>
  <c r="M55" i="18"/>
  <c r="N55" i="18"/>
  <c r="R103" i="19"/>
  <c r="O62" i="18"/>
  <c r="P62" i="18"/>
  <c r="Q62" i="18"/>
  <c r="R62" i="18"/>
  <c r="S62" i="18"/>
  <c r="T62" i="18"/>
  <c r="U62" i="18"/>
  <c r="J62" i="18"/>
  <c r="K62" i="18"/>
  <c r="L62" i="18"/>
  <c r="M62" i="18"/>
  <c r="N62" i="18"/>
  <c r="R6" i="19"/>
  <c r="P14" i="19"/>
  <c r="S14" i="19" s="1"/>
  <c r="V14" i="19" s="1"/>
  <c r="Y14" i="19" s="1"/>
  <c r="P15" i="19"/>
  <c r="S15" i="19" s="1"/>
  <c r="V15" i="19" s="1"/>
  <c r="Y15" i="19" s="1"/>
  <c r="O15" i="19"/>
  <c r="R15" i="19" s="1"/>
  <c r="T122" i="19"/>
  <c r="O14" i="19"/>
  <c r="R14" i="19" s="1"/>
  <c r="T73" i="19"/>
  <c r="T75" i="19"/>
  <c r="T129" i="19"/>
  <c r="T7" i="19"/>
  <c r="T84" i="19"/>
  <c r="T83" i="19"/>
  <c r="T94" i="19"/>
  <c r="T107" i="19"/>
  <c r="T87" i="19"/>
  <c r="T121" i="19"/>
  <c r="T135" i="19"/>
  <c r="T136" i="19" s="1"/>
  <c r="T28" i="19"/>
  <c r="T105" i="19"/>
  <c r="T21" i="19"/>
  <c r="T130" i="19"/>
  <c r="T85" i="19"/>
  <c r="T123" i="19"/>
  <c r="T22" i="19"/>
  <c r="T38" i="19"/>
  <c r="T58" i="19"/>
  <c r="T86" i="19"/>
  <c r="T37" i="19"/>
  <c r="T104" i="19"/>
  <c r="T30" i="19"/>
  <c r="T36" i="19"/>
  <c r="Q44" i="19"/>
  <c r="Q45" i="19" s="1"/>
  <c r="U44" i="19"/>
  <c r="T116" i="19"/>
  <c r="T106" i="19"/>
  <c r="T29" i="19"/>
  <c r="T97" i="19"/>
  <c r="T115" i="19"/>
  <c r="Q50" i="19"/>
  <c r="U50" i="19"/>
  <c r="T77" i="19"/>
  <c r="T96" i="19"/>
  <c r="T114" i="19"/>
  <c r="Q128" i="19"/>
  <c r="U128" i="19"/>
  <c r="T76" i="19"/>
  <c r="T95" i="19"/>
  <c r="T113" i="19"/>
  <c r="Q129" i="19"/>
  <c r="Q116" i="19"/>
  <c r="Q77" i="19"/>
  <c r="Q96" i="19"/>
  <c r="Q85" i="19"/>
  <c r="Q59" i="19"/>
  <c r="Q97" i="19"/>
  <c r="Q115" i="19"/>
  <c r="Q114" i="19"/>
  <c r="Q21" i="19"/>
  <c r="Q130" i="19"/>
  <c r="Q105" i="19"/>
  <c r="Q73" i="19"/>
  <c r="Q22" i="19"/>
  <c r="Q57" i="19"/>
  <c r="R56" i="19"/>
  <c r="Q75" i="19"/>
  <c r="Q94" i="19"/>
  <c r="S56" i="19"/>
  <c r="V56" i="19" s="1"/>
  <c r="Q74" i="19"/>
  <c r="Q8" i="19"/>
  <c r="Q113" i="19"/>
  <c r="Q121" i="19"/>
  <c r="Q135" i="19"/>
  <c r="Q136" i="19" s="1"/>
  <c r="Q28" i="19"/>
  <c r="Q76" i="19"/>
  <c r="Q87" i="19"/>
  <c r="Q95" i="19"/>
  <c r="Q107" i="19"/>
  <c r="Q86" i="19"/>
  <c r="Q93" i="19"/>
  <c r="Q106" i="19"/>
  <c r="Q38" i="19"/>
  <c r="Q58" i="19"/>
  <c r="Q7" i="19"/>
  <c r="Q37" i="19"/>
  <c r="Q84" i="19"/>
  <c r="Q104" i="19"/>
  <c r="Q123" i="19"/>
  <c r="Q29" i="19"/>
  <c r="K6" i="19"/>
  <c r="P6" i="19"/>
  <c r="Q30" i="19"/>
  <c r="Q36" i="19"/>
  <c r="Q83" i="19"/>
  <c r="Q122" i="19"/>
  <c r="Y136" i="28"/>
  <c r="Y43" i="19" l="1"/>
  <c r="W43" i="19" s="1"/>
  <c r="R55" i="39"/>
  <c r="T55" i="39"/>
  <c r="S55" i="39"/>
  <c r="J55" i="39"/>
  <c r="K55" i="39"/>
  <c r="L55" i="39"/>
  <c r="N55" i="39"/>
  <c r="O55" i="39"/>
  <c r="P55" i="39"/>
  <c r="Q55" i="39"/>
  <c r="U55" i="39"/>
  <c r="M55" i="39"/>
  <c r="R31" i="39"/>
  <c r="S31" i="39"/>
  <c r="M31" i="39"/>
  <c r="J31" i="39"/>
  <c r="K31" i="39"/>
  <c r="L31" i="39"/>
  <c r="N31" i="39"/>
  <c r="O31" i="39"/>
  <c r="P31" i="39"/>
  <c r="Q31" i="39"/>
  <c r="T31" i="39"/>
  <c r="U31" i="39"/>
  <c r="R62" i="39"/>
  <c r="U62" i="39"/>
  <c r="M62" i="39"/>
  <c r="S62" i="39"/>
  <c r="T62" i="39"/>
  <c r="J62" i="39"/>
  <c r="K62" i="39"/>
  <c r="L62" i="39"/>
  <c r="N62" i="39"/>
  <c r="O62" i="39"/>
  <c r="P62" i="39"/>
  <c r="Q62" i="39"/>
  <c r="R68" i="39"/>
  <c r="S68" i="39"/>
  <c r="T68" i="39"/>
  <c r="U68" i="39"/>
  <c r="J68" i="39"/>
  <c r="K68" i="39"/>
  <c r="L68" i="39"/>
  <c r="M68" i="39"/>
  <c r="N68" i="39"/>
  <c r="O68" i="39"/>
  <c r="P68" i="39"/>
  <c r="Q68" i="39"/>
  <c r="R48" i="39"/>
  <c r="T48" i="39"/>
  <c r="S48" i="39"/>
  <c r="U48" i="39"/>
  <c r="J48" i="39"/>
  <c r="K48" i="39"/>
  <c r="M48" i="39"/>
  <c r="L48" i="39"/>
  <c r="N48" i="39"/>
  <c r="O48" i="39"/>
  <c r="P48" i="39"/>
  <c r="Q48" i="39"/>
  <c r="R41" i="39"/>
  <c r="T41" i="39"/>
  <c r="U41" i="39"/>
  <c r="S41" i="39"/>
  <c r="M41" i="39"/>
  <c r="J41" i="39"/>
  <c r="K41" i="39"/>
  <c r="L41" i="39"/>
  <c r="N41" i="39"/>
  <c r="O41" i="39"/>
  <c r="P41" i="39"/>
  <c r="Q41" i="39"/>
  <c r="Y56" i="19"/>
  <c r="L35" i="41"/>
  <c r="O35" i="41"/>
  <c r="T35" i="41"/>
  <c r="K35" i="41"/>
  <c r="M35" i="41"/>
  <c r="N35" i="41"/>
  <c r="P35" i="41"/>
  <c r="Q35" i="41"/>
  <c r="R35" i="41"/>
  <c r="S35" i="41"/>
  <c r="U35" i="41"/>
  <c r="J35" i="41"/>
  <c r="Y27" i="19"/>
  <c r="K19" i="41"/>
  <c r="M19" i="41"/>
  <c r="N19" i="41"/>
  <c r="L19" i="41"/>
  <c r="T19" i="41"/>
  <c r="J19" i="41"/>
  <c r="O19" i="41"/>
  <c r="P19" i="41"/>
  <c r="Q19" i="41"/>
  <c r="R19" i="41"/>
  <c r="S19" i="41"/>
  <c r="U19" i="41"/>
  <c r="Y35" i="19"/>
  <c r="K24" i="41"/>
  <c r="L24" i="41"/>
  <c r="J24" i="41"/>
  <c r="M24" i="41"/>
  <c r="N24" i="41"/>
  <c r="S24" i="41"/>
  <c r="U24" i="41"/>
  <c r="O24" i="41"/>
  <c r="P24" i="41"/>
  <c r="Q24" i="41"/>
  <c r="R24" i="41"/>
  <c r="T24" i="41"/>
  <c r="W52" i="41"/>
  <c r="W58" i="41" s="1"/>
  <c r="V6" i="38"/>
  <c r="S91" i="40"/>
  <c r="S98" i="40" s="1"/>
  <c r="R91" i="40"/>
  <c r="R98" i="40" s="1"/>
  <c r="T91" i="40"/>
  <c r="T98" i="40" s="1"/>
  <c r="W124" i="19"/>
  <c r="P91" i="40"/>
  <c r="P88" i="40" s="1"/>
  <c r="O91" i="40"/>
  <c r="O98" i="40" s="1"/>
  <c r="N91" i="40"/>
  <c r="N98" i="40" s="1"/>
  <c r="L91" i="40"/>
  <c r="V3" i="40"/>
  <c r="Q72" i="19"/>
  <c r="Q78" i="19" s="1"/>
  <c r="M91" i="40"/>
  <c r="U112" i="19"/>
  <c r="T112" i="19" s="1"/>
  <c r="T117" i="19" s="1"/>
  <c r="N6" i="19"/>
  <c r="U3" i="40"/>
  <c r="J7" i="40"/>
  <c r="J3" i="40"/>
  <c r="K3" i="40"/>
  <c r="K7" i="40"/>
  <c r="U7" i="40"/>
  <c r="Q91" i="40"/>
  <c r="V22" i="39"/>
  <c r="V26" i="39" s="1"/>
  <c r="U56" i="19"/>
  <c r="X56" i="19" s="1"/>
  <c r="V17" i="39"/>
  <c r="V21" i="39" s="1"/>
  <c r="W22" i="39"/>
  <c r="W26" i="39" s="1"/>
  <c r="U82" i="19"/>
  <c r="T82" i="19" s="1"/>
  <c r="T88" i="19" s="1"/>
  <c r="V7" i="40"/>
  <c r="V10" i="40" s="1"/>
  <c r="Q103" i="19"/>
  <c r="Q108" i="19" s="1"/>
  <c r="I22" i="39"/>
  <c r="U92" i="19"/>
  <c r="X92" i="19" s="1"/>
  <c r="W92" i="19" s="1"/>
  <c r="W98" i="19" s="1"/>
  <c r="W23" i="19"/>
  <c r="X57" i="19"/>
  <c r="W57" i="19" s="1"/>
  <c r="S7" i="39"/>
  <c r="M7" i="39"/>
  <c r="N7" i="39"/>
  <c r="O7" i="39"/>
  <c r="R7" i="39"/>
  <c r="T7" i="39"/>
  <c r="Q7" i="39"/>
  <c r="L7" i="39"/>
  <c r="P7" i="39"/>
  <c r="U6" i="19"/>
  <c r="T128" i="19"/>
  <c r="T131" i="19" s="1"/>
  <c r="X128" i="19"/>
  <c r="W128" i="19" s="1"/>
  <c r="W131" i="19" s="1"/>
  <c r="T44" i="19"/>
  <c r="T45" i="19" s="1"/>
  <c r="X44" i="19"/>
  <c r="W44" i="19" s="1"/>
  <c r="W45" i="19" s="1"/>
  <c r="T27" i="19"/>
  <c r="T31" i="19" s="1"/>
  <c r="X27" i="19"/>
  <c r="T35" i="19"/>
  <c r="T39" i="19" s="1"/>
  <c r="X35" i="19"/>
  <c r="T50" i="19"/>
  <c r="X50" i="19"/>
  <c r="W50" i="19" s="1"/>
  <c r="K90" i="38"/>
  <c r="K92" i="38" s="1"/>
  <c r="I7" i="38"/>
  <c r="I6" i="38" s="1"/>
  <c r="I3" i="38"/>
  <c r="I2" i="38" s="1"/>
  <c r="J90" i="38"/>
  <c r="U90" i="38"/>
  <c r="U92" i="38" s="1"/>
  <c r="W3" i="38"/>
  <c r="W7" i="38"/>
  <c r="T91" i="33"/>
  <c r="T98" i="33" s="1"/>
  <c r="T105" i="33" s="1"/>
  <c r="T112" i="33" s="1"/>
  <c r="U3" i="33"/>
  <c r="K3" i="33"/>
  <c r="J3" i="33"/>
  <c r="K7" i="33"/>
  <c r="J7" i="33"/>
  <c r="U7" i="33"/>
  <c r="Q35" i="19"/>
  <c r="Q39" i="19" s="1"/>
  <c r="Q112" i="19"/>
  <c r="Q117" i="19" s="1"/>
  <c r="Q92" i="19"/>
  <c r="Q98" i="19" s="1"/>
  <c r="U103" i="19"/>
  <c r="U72" i="19"/>
  <c r="Q82" i="19"/>
  <c r="Q88" i="19" s="1"/>
  <c r="Q27" i="19"/>
  <c r="Q31" i="19" s="1"/>
  <c r="S62" i="34"/>
  <c r="S62" i="35" s="1"/>
  <c r="M91" i="33"/>
  <c r="M98" i="33" s="1"/>
  <c r="M105" i="33" s="1"/>
  <c r="M112" i="33" s="1"/>
  <c r="M90" i="37"/>
  <c r="J17" i="34"/>
  <c r="U68" i="34"/>
  <c r="Q90" i="37"/>
  <c r="Q91" i="33"/>
  <c r="Q98" i="33" s="1"/>
  <c r="Q105" i="33" s="1"/>
  <c r="Q112" i="33" s="1"/>
  <c r="L90" i="37"/>
  <c r="V3" i="37"/>
  <c r="P62" i="34"/>
  <c r="P62" i="35" s="1"/>
  <c r="Q55" i="34"/>
  <c r="Q55" i="35" s="1"/>
  <c r="R48" i="34"/>
  <c r="R48" i="35" s="1"/>
  <c r="S41" i="34"/>
  <c r="S41" i="35" s="1"/>
  <c r="T17" i="34"/>
  <c r="T68" i="34"/>
  <c r="T68" i="35" s="1"/>
  <c r="J31" i="34"/>
  <c r="J22" i="34"/>
  <c r="N22" i="34"/>
  <c r="N22" i="35" s="1"/>
  <c r="U17" i="34"/>
  <c r="O62" i="34"/>
  <c r="O62" i="35" s="1"/>
  <c r="P55" i="34"/>
  <c r="P55" i="35" s="1"/>
  <c r="Q48" i="34"/>
  <c r="Q48" i="35" s="1"/>
  <c r="R41" i="34"/>
  <c r="R41" i="35" s="1"/>
  <c r="S17" i="34"/>
  <c r="S68" i="34"/>
  <c r="S68" i="35" s="1"/>
  <c r="U31" i="34"/>
  <c r="K22" i="34"/>
  <c r="K22" i="35" s="1"/>
  <c r="R91" i="33"/>
  <c r="R98" i="33" s="1"/>
  <c r="R105" i="33" s="1"/>
  <c r="R112" i="33" s="1"/>
  <c r="R90" i="37"/>
  <c r="L31" i="34"/>
  <c r="V7" i="37"/>
  <c r="R55" i="34"/>
  <c r="R55" i="35" s="1"/>
  <c r="L22" i="34"/>
  <c r="N62" i="34"/>
  <c r="N62" i="35" s="1"/>
  <c r="O55" i="34"/>
  <c r="O55" i="35" s="1"/>
  <c r="P48" i="34"/>
  <c r="P48" i="35" s="1"/>
  <c r="Q41" i="34"/>
  <c r="Q41" i="35" s="1"/>
  <c r="R17" i="34"/>
  <c r="R68" i="34"/>
  <c r="R68" i="35" s="1"/>
  <c r="T31" i="34"/>
  <c r="U22" i="34"/>
  <c r="M31" i="34"/>
  <c r="Q62" i="34"/>
  <c r="Q62" i="35" s="1"/>
  <c r="S48" i="34"/>
  <c r="S48" i="35" s="1"/>
  <c r="T41" i="34"/>
  <c r="T41" i="35" s="1"/>
  <c r="K31" i="34"/>
  <c r="P91" i="33"/>
  <c r="P98" i="33" s="1"/>
  <c r="P105" i="33" s="1"/>
  <c r="P112" i="33" s="1"/>
  <c r="P90" i="37"/>
  <c r="M62" i="34"/>
  <c r="M62" i="35" s="1"/>
  <c r="N55" i="34"/>
  <c r="N55" i="35" s="1"/>
  <c r="O48" i="34"/>
  <c r="O48" i="35" s="1"/>
  <c r="P41" i="34"/>
  <c r="P41" i="35" s="1"/>
  <c r="Q17" i="34"/>
  <c r="Q68" i="34"/>
  <c r="Q68" i="35" s="1"/>
  <c r="S31" i="34"/>
  <c r="T22" i="34"/>
  <c r="T22" i="35" s="1"/>
  <c r="U48" i="34"/>
  <c r="U41" i="34"/>
  <c r="M55" i="34"/>
  <c r="M55" i="35" s="1"/>
  <c r="O41" i="34"/>
  <c r="O41" i="35" s="1"/>
  <c r="P17" i="34"/>
  <c r="P68" i="34"/>
  <c r="P68" i="35" s="1"/>
  <c r="R31" i="34"/>
  <c r="S22" i="34"/>
  <c r="S22" i="35" s="1"/>
  <c r="K17" i="34"/>
  <c r="S55" i="34"/>
  <c r="S55" i="35" s="1"/>
  <c r="N48" i="34"/>
  <c r="N48" i="35" s="1"/>
  <c r="O90" i="37"/>
  <c r="K62" i="34"/>
  <c r="K62" i="35" s="1"/>
  <c r="L55" i="34"/>
  <c r="M48" i="34"/>
  <c r="M48" i="35" s="1"/>
  <c r="L41" i="34"/>
  <c r="O17" i="34"/>
  <c r="O68" i="34"/>
  <c r="O68" i="35" s="1"/>
  <c r="Q31" i="34"/>
  <c r="R22" i="34"/>
  <c r="R22" i="35" s="1"/>
  <c r="T55" i="34"/>
  <c r="T55" i="35" s="1"/>
  <c r="S91" i="33"/>
  <c r="S98" i="33" s="1"/>
  <c r="S105" i="33" s="1"/>
  <c r="S112" i="33" s="1"/>
  <c r="S90" i="37"/>
  <c r="R62" i="34"/>
  <c r="R62" i="35" s="1"/>
  <c r="T48" i="34"/>
  <c r="T48" i="35" s="1"/>
  <c r="L62" i="34"/>
  <c r="J62" i="34"/>
  <c r="K55" i="34"/>
  <c r="K55" i="35" s="1"/>
  <c r="L48" i="34"/>
  <c r="N41" i="34"/>
  <c r="N41" i="35" s="1"/>
  <c r="L17" i="34"/>
  <c r="M68" i="34"/>
  <c r="M68" i="35" s="1"/>
  <c r="P31" i="34"/>
  <c r="Q22" i="34"/>
  <c r="Q22" i="35" s="1"/>
  <c r="J41" i="34"/>
  <c r="M22" i="34"/>
  <c r="M22" i="35" s="1"/>
  <c r="S6" i="19"/>
  <c r="T90" i="37"/>
  <c r="N91" i="33"/>
  <c r="N98" i="33" s="1"/>
  <c r="N105" i="33" s="1"/>
  <c r="N112" i="33" s="1"/>
  <c r="N90" i="37"/>
  <c r="U62" i="34"/>
  <c r="J55" i="34"/>
  <c r="K48" i="34"/>
  <c r="K48" i="35" s="1"/>
  <c r="M41" i="34"/>
  <c r="M41" i="35" s="1"/>
  <c r="N17" i="34"/>
  <c r="N68" i="34"/>
  <c r="N68" i="35" s="1"/>
  <c r="O31" i="34"/>
  <c r="P22" i="34"/>
  <c r="P22" i="35" s="1"/>
  <c r="K68" i="34"/>
  <c r="K68" i="35" s="1"/>
  <c r="J68" i="34"/>
  <c r="T62" i="34"/>
  <c r="T62" i="35" s="1"/>
  <c r="U55" i="34"/>
  <c r="J48" i="34"/>
  <c r="K41" i="34"/>
  <c r="K41" i="35" s="1"/>
  <c r="M17" i="34"/>
  <c r="L68" i="34"/>
  <c r="N31" i="34"/>
  <c r="O22" i="34"/>
  <c r="O22" i="35" s="1"/>
  <c r="Q14" i="19"/>
  <c r="U14" i="19"/>
  <c r="U15" i="19"/>
  <c r="Q15" i="19"/>
  <c r="T124" i="19"/>
  <c r="T23" i="19"/>
  <c r="Q56" i="19"/>
  <c r="Q60" i="19" s="1"/>
  <c r="Q131" i="19"/>
  <c r="Q23" i="19"/>
  <c r="Q124" i="19"/>
  <c r="S117" i="18"/>
  <c r="T109" i="18"/>
  <c r="P11" i="18"/>
  <c r="U12" i="18"/>
  <c r="U97" i="18" s="1"/>
  <c r="U3" i="39" l="1"/>
  <c r="K3" i="39"/>
  <c r="L3" i="39"/>
  <c r="M3" i="39"/>
  <c r="M91" i="39" s="1"/>
  <c r="M98" i="39" s="1"/>
  <c r="M105" i="39" s="1"/>
  <c r="N3" i="39"/>
  <c r="O3" i="39"/>
  <c r="O91" i="39" s="1"/>
  <c r="O98" i="39" s="1"/>
  <c r="O105" i="39" s="1"/>
  <c r="P3" i="39"/>
  <c r="P91" i="39" s="1"/>
  <c r="Q3" i="39"/>
  <c r="Q91" i="39" s="1"/>
  <c r="Q98" i="39" s="1"/>
  <c r="Q105" i="39" s="1"/>
  <c r="R3" i="39"/>
  <c r="R91" i="39" s="1"/>
  <c r="S3" i="39"/>
  <c r="S91" i="39" s="1"/>
  <c r="S98" i="39" s="1"/>
  <c r="S105" i="39" s="1"/>
  <c r="T3" i="39"/>
  <c r="T91" i="39" s="1"/>
  <c r="W35" i="19"/>
  <c r="W39" i="19" s="1"/>
  <c r="N91" i="39"/>
  <c r="J3" i="39"/>
  <c r="W56" i="19"/>
  <c r="W60" i="19" s="1"/>
  <c r="N45" i="41"/>
  <c r="K45" i="41"/>
  <c r="O45" i="41"/>
  <c r="P45" i="41"/>
  <c r="Q45" i="41"/>
  <c r="L45" i="41"/>
  <c r="R45" i="41"/>
  <c r="S45" i="41"/>
  <c r="M45" i="41"/>
  <c r="T45" i="41"/>
  <c r="U45" i="41"/>
  <c r="J45" i="41"/>
  <c r="M3" i="41"/>
  <c r="M95" i="41" s="1"/>
  <c r="N3" i="41"/>
  <c r="N95" i="41" s="1"/>
  <c r="O3" i="41"/>
  <c r="O95" i="41" s="1"/>
  <c r="P3" i="41"/>
  <c r="P95" i="41" s="1"/>
  <c r="Q3" i="41"/>
  <c r="Q95" i="41" s="1"/>
  <c r="R3" i="41"/>
  <c r="R95" i="41" s="1"/>
  <c r="S3" i="41"/>
  <c r="S95" i="41" s="1"/>
  <c r="T3" i="41"/>
  <c r="T95" i="41" s="1"/>
  <c r="T88" i="40"/>
  <c r="V19" i="41"/>
  <c r="V23" i="41" s="1"/>
  <c r="W27" i="19"/>
  <c r="W31" i="19" s="1"/>
  <c r="V24" i="41"/>
  <c r="V28" i="41" s="1"/>
  <c r="W19" i="41"/>
  <c r="W23" i="41" s="1"/>
  <c r="W24" i="41"/>
  <c r="W28" i="41" s="1"/>
  <c r="I24" i="41"/>
  <c r="I19" i="41"/>
  <c r="I18" i="41" s="1"/>
  <c r="W72" i="41"/>
  <c r="W77" i="41" s="1"/>
  <c r="X112" i="19"/>
  <c r="W112" i="19" s="1"/>
  <c r="W117" i="19" s="1"/>
  <c r="T56" i="19"/>
  <c r="T60" i="19" s="1"/>
  <c r="P98" i="40"/>
  <c r="P95" i="40" s="1"/>
  <c r="R88" i="40"/>
  <c r="S88" i="40"/>
  <c r="V10" i="41"/>
  <c r="I35" i="41"/>
  <c r="W66" i="41"/>
  <c r="W71" i="41" s="1"/>
  <c r="V35" i="41"/>
  <c r="V39" i="41" s="1"/>
  <c r="I72" i="41"/>
  <c r="T54" i="28" s="1"/>
  <c r="I52" i="41"/>
  <c r="V52" i="41"/>
  <c r="V58" i="41" s="1"/>
  <c r="X58" i="41" s="1"/>
  <c r="X6" i="19"/>
  <c r="L3" i="41"/>
  <c r="W35" i="41"/>
  <c r="W39" i="41" s="1"/>
  <c r="W59" i="41"/>
  <c r="W65" i="41" s="1"/>
  <c r="V66" i="41"/>
  <c r="V71" i="41" s="1"/>
  <c r="V59" i="41"/>
  <c r="V65" i="41" s="1"/>
  <c r="V72" i="41"/>
  <c r="V77" i="41" s="1"/>
  <c r="I66" i="41"/>
  <c r="I59" i="41"/>
  <c r="X82" i="19"/>
  <c r="W82" i="19" s="1"/>
  <c r="W88" i="19" s="1"/>
  <c r="T92" i="19"/>
  <c r="T98" i="19" s="1"/>
  <c r="K91" i="40"/>
  <c r="K98" i="40" s="1"/>
  <c r="N88" i="40"/>
  <c r="O88" i="40"/>
  <c r="W7" i="40"/>
  <c r="X7" i="40" s="1"/>
  <c r="V41" i="39"/>
  <c r="V47" i="39" s="1"/>
  <c r="V48" i="39"/>
  <c r="V54" i="39" s="1"/>
  <c r="U91" i="33"/>
  <c r="W55" i="39"/>
  <c r="W61" i="39" s="1"/>
  <c r="V31" i="39"/>
  <c r="V35" i="39" s="1"/>
  <c r="I68" i="39"/>
  <c r="S54" i="28" s="1"/>
  <c r="N105" i="40"/>
  <c r="N95" i="40"/>
  <c r="V55" i="39"/>
  <c r="V61" i="39" s="1"/>
  <c r="J91" i="40"/>
  <c r="I3" i="40"/>
  <c r="I2" i="40" s="1"/>
  <c r="S37" i="28"/>
  <c r="I21" i="39"/>
  <c r="W62" i="39"/>
  <c r="W67" i="39" s="1"/>
  <c r="I7" i="40"/>
  <c r="I6" i="40" s="1"/>
  <c r="W41" i="39"/>
  <c r="W47" i="39" s="1"/>
  <c r="W48" i="39"/>
  <c r="W54" i="39" s="1"/>
  <c r="R105" i="40"/>
  <c r="R95" i="40"/>
  <c r="I31" i="39"/>
  <c r="S71" i="28" s="1"/>
  <c r="W3" i="40"/>
  <c r="U91" i="40"/>
  <c r="O105" i="40"/>
  <c r="O95" i="40"/>
  <c r="I62" i="39"/>
  <c r="W68" i="39"/>
  <c r="W73" i="39" s="1"/>
  <c r="I55" i="39"/>
  <c r="S105" i="40"/>
  <c r="S95" i="40"/>
  <c r="M98" i="40"/>
  <c r="M88" i="40"/>
  <c r="I41" i="39"/>
  <c r="V62" i="39"/>
  <c r="V67" i="39" s="1"/>
  <c r="X26" i="39"/>
  <c r="I48" i="39"/>
  <c r="R9" i="28"/>
  <c r="V6" i="40"/>
  <c r="Z3" i="40"/>
  <c r="T105" i="40"/>
  <c r="T95" i="40"/>
  <c r="W31" i="39"/>
  <c r="W35" i="39" s="1"/>
  <c r="Q98" i="40"/>
  <c r="Q88" i="40"/>
  <c r="V68" i="39"/>
  <c r="V73" i="39" s="1"/>
  <c r="L98" i="40"/>
  <c r="L88" i="40"/>
  <c r="L91" i="39"/>
  <c r="I93" i="38"/>
  <c r="I92" i="38"/>
  <c r="V6" i="19"/>
  <c r="U7" i="39"/>
  <c r="K7" i="39"/>
  <c r="J7" i="39"/>
  <c r="V7" i="39"/>
  <c r="V10" i="39" s="1"/>
  <c r="Q6" i="19"/>
  <c r="Q9" i="19" s="1"/>
  <c r="T14" i="19"/>
  <c r="X14" i="19"/>
  <c r="W14" i="19" s="1"/>
  <c r="T72" i="19"/>
  <c r="T78" i="19" s="1"/>
  <c r="X72" i="19"/>
  <c r="W72" i="19" s="1"/>
  <c r="W78" i="19" s="1"/>
  <c r="T15" i="19"/>
  <c r="X15" i="19"/>
  <c r="W15" i="19" s="1"/>
  <c r="T103" i="19"/>
  <c r="T108" i="19" s="1"/>
  <c r="X103" i="19"/>
  <c r="W103" i="19" s="1"/>
  <c r="W108" i="19" s="1"/>
  <c r="X7" i="38"/>
  <c r="W10" i="38"/>
  <c r="W6" i="38"/>
  <c r="J92" i="38"/>
  <c r="V90" i="38"/>
  <c r="I3" i="33"/>
  <c r="I7" i="33"/>
  <c r="V7" i="33"/>
  <c r="V10" i="33" s="1"/>
  <c r="Q16" i="19"/>
  <c r="W17" i="37"/>
  <c r="M17" i="35"/>
  <c r="K90" i="37"/>
  <c r="J91" i="33"/>
  <c r="I3" i="37"/>
  <c r="J90" i="37"/>
  <c r="K17" i="35"/>
  <c r="V31" i="37"/>
  <c r="J22" i="35"/>
  <c r="I22" i="34"/>
  <c r="I21" i="34" s="1"/>
  <c r="U68" i="35"/>
  <c r="W68" i="34"/>
  <c r="W73" i="34" s="1"/>
  <c r="J62" i="35"/>
  <c r="I62" i="34"/>
  <c r="I61" i="34" s="1"/>
  <c r="I55" i="37"/>
  <c r="L62" i="35"/>
  <c r="V62" i="35" s="1"/>
  <c r="V67" i="35" s="1"/>
  <c r="V62" i="34"/>
  <c r="V67" i="34" s="1"/>
  <c r="L55" i="35"/>
  <c r="V55" i="35" s="1"/>
  <c r="V61" i="35" s="1"/>
  <c r="V55" i="34"/>
  <c r="V61" i="34" s="1"/>
  <c r="U22" i="35"/>
  <c r="W22" i="34"/>
  <c r="W26" i="34" s="1"/>
  <c r="I22" i="37"/>
  <c r="J17" i="35"/>
  <c r="I17" i="34"/>
  <c r="I16" i="34" s="1"/>
  <c r="P31" i="35"/>
  <c r="M31" i="35"/>
  <c r="W22" i="37"/>
  <c r="W48" i="37"/>
  <c r="W48" i="33"/>
  <c r="W54" i="33" s="1"/>
  <c r="I48" i="37"/>
  <c r="W62" i="37"/>
  <c r="W3" i="37"/>
  <c r="U90" i="37"/>
  <c r="L17" i="35"/>
  <c r="V17" i="34"/>
  <c r="V21" i="34" s="1"/>
  <c r="I7" i="37"/>
  <c r="K31" i="35"/>
  <c r="T31" i="35"/>
  <c r="J31" i="35"/>
  <c r="I31" i="34"/>
  <c r="I30" i="34" s="1"/>
  <c r="I17" i="37"/>
  <c r="L41" i="35"/>
  <c r="V41" i="35" s="1"/>
  <c r="V47" i="35" s="1"/>
  <c r="V41" i="34"/>
  <c r="V47" i="34" s="1"/>
  <c r="U55" i="35"/>
  <c r="W55" i="34"/>
  <c r="W61" i="34" s="1"/>
  <c r="R31" i="35"/>
  <c r="U41" i="35"/>
  <c r="W41" i="34"/>
  <c r="W47" i="34" s="1"/>
  <c r="I31" i="37"/>
  <c r="V41" i="33"/>
  <c r="V47" i="33" s="1"/>
  <c r="V41" i="37"/>
  <c r="S31" i="35"/>
  <c r="L31" i="35"/>
  <c r="V31" i="34"/>
  <c r="V35" i="34" s="1"/>
  <c r="V62" i="33"/>
  <c r="V67" i="33" s="1"/>
  <c r="V62" i="37"/>
  <c r="V55" i="33"/>
  <c r="V55" i="37"/>
  <c r="W55" i="37"/>
  <c r="V68" i="37"/>
  <c r="V68" i="33"/>
  <c r="V73" i="33" s="1"/>
  <c r="L22" i="35"/>
  <c r="V22" i="35" s="1"/>
  <c r="V26" i="35" s="1"/>
  <c r="V22" i="34"/>
  <c r="V26" i="34" s="1"/>
  <c r="I62" i="37"/>
  <c r="J48" i="35"/>
  <c r="I48" i="34"/>
  <c r="I47" i="34" s="1"/>
  <c r="O31" i="35"/>
  <c r="U62" i="35"/>
  <c r="W62" i="34"/>
  <c r="W67" i="34" s="1"/>
  <c r="Q31" i="35"/>
  <c r="V17" i="37"/>
  <c r="N31" i="35"/>
  <c r="N17" i="35"/>
  <c r="U48" i="35"/>
  <c r="W48" i="34"/>
  <c r="W54" i="34" s="1"/>
  <c r="V22" i="33"/>
  <c r="V26" i="33" s="1"/>
  <c r="V22" i="37"/>
  <c r="U31" i="35"/>
  <c r="W31" i="34"/>
  <c r="W35" i="34" s="1"/>
  <c r="Z3" i="37"/>
  <c r="J55" i="35"/>
  <c r="I55" i="34"/>
  <c r="I54" i="34" s="1"/>
  <c r="W7" i="37"/>
  <c r="X7" i="37" s="1"/>
  <c r="W7" i="33"/>
  <c r="J41" i="35"/>
  <c r="I41" i="34"/>
  <c r="I40" i="34" s="1"/>
  <c r="L48" i="35"/>
  <c r="V48" i="35" s="1"/>
  <c r="V54" i="35" s="1"/>
  <c r="V48" i="34"/>
  <c r="V54" i="34" s="1"/>
  <c r="O17" i="35"/>
  <c r="O91" i="33"/>
  <c r="O98" i="33" s="1"/>
  <c r="O105" i="33" s="1"/>
  <c r="O112" i="33" s="1"/>
  <c r="R17" i="35"/>
  <c r="W31" i="37"/>
  <c r="T17" i="35"/>
  <c r="V3" i="33"/>
  <c r="L91" i="33"/>
  <c r="L98" i="33" s="1"/>
  <c r="L105" i="33" s="1"/>
  <c r="L112" i="33" s="1"/>
  <c r="W68" i="37"/>
  <c r="I68" i="37"/>
  <c r="S17" i="35"/>
  <c r="Q17" i="35"/>
  <c r="L68" i="35"/>
  <c r="V68" i="35" s="1"/>
  <c r="V73" i="35" s="1"/>
  <c r="V68" i="34"/>
  <c r="V73" i="34" s="1"/>
  <c r="J68" i="35"/>
  <c r="I68" i="34"/>
  <c r="I67" i="34" s="1"/>
  <c r="W41" i="37"/>
  <c r="I41" i="37"/>
  <c r="V48" i="33"/>
  <c r="V54" i="33" s="1"/>
  <c r="V48" i="37"/>
  <c r="P17" i="35"/>
  <c r="U17" i="35"/>
  <c r="W17" i="34"/>
  <c r="W21" i="34" s="1"/>
  <c r="N148" i="19"/>
  <c r="N149" i="19"/>
  <c r="N150" i="19"/>
  <c r="N151" i="19"/>
  <c r="N152" i="19"/>
  <c r="N153" i="19"/>
  <c r="N154" i="19"/>
  <c r="N155" i="19"/>
  <c r="N156" i="19"/>
  <c r="T102" i="41" l="1"/>
  <c r="V3" i="41"/>
  <c r="T9" i="28" s="1"/>
  <c r="U9" i="28" s="1"/>
  <c r="V9" i="28" s="1"/>
  <c r="S102" i="41"/>
  <c r="R102" i="41"/>
  <c r="Q102" i="41"/>
  <c r="M102" i="41"/>
  <c r="P102" i="41"/>
  <c r="O102" i="41"/>
  <c r="N102" i="41"/>
  <c r="V3" i="39"/>
  <c r="W45" i="41"/>
  <c r="W51" i="41" s="1"/>
  <c r="I45" i="41"/>
  <c r="T87" i="28" s="1"/>
  <c r="I34" i="41"/>
  <c r="C16" i="30" s="1"/>
  <c r="T71" i="28"/>
  <c r="I65" i="41"/>
  <c r="C12" i="30" s="1"/>
  <c r="T45" i="28"/>
  <c r="I51" i="41"/>
  <c r="C19" i="30" s="1"/>
  <c r="T97" i="28"/>
  <c r="I71" i="41"/>
  <c r="C13" i="30" s="1"/>
  <c r="I23" i="41"/>
  <c r="C11" i="30" s="1"/>
  <c r="T37" i="28"/>
  <c r="C10" i="30"/>
  <c r="T29" i="28"/>
  <c r="I58" i="41"/>
  <c r="C20" i="30" s="1"/>
  <c r="T107" i="28"/>
  <c r="V45" i="41"/>
  <c r="V51" i="41" s="1"/>
  <c r="T6" i="19"/>
  <c r="T9" i="19" s="1"/>
  <c r="K3" i="41"/>
  <c r="K95" i="41" s="1"/>
  <c r="P105" i="40"/>
  <c r="P112" i="40" s="1"/>
  <c r="P109" i="40" s="1"/>
  <c r="K88" i="40"/>
  <c r="X19" i="41"/>
  <c r="X77" i="41"/>
  <c r="X28" i="41"/>
  <c r="J91" i="39"/>
  <c r="J98" i="39" s="1"/>
  <c r="J105" i="39" s="1"/>
  <c r="X39" i="41"/>
  <c r="L95" i="41"/>
  <c r="I6" i="41"/>
  <c r="Y6" i="19"/>
  <c r="W6" i="19" s="1"/>
  <c r="W9" i="19" s="1"/>
  <c r="J3" i="41"/>
  <c r="J95" i="41" s="1"/>
  <c r="J102" i="41" s="1"/>
  <c r="J109" i="41" s="1"/>
  <c r="U3" i="41"/>
  <c r="X65" i="41"/>
  <c r="X71" i="41"/>
  <c r="W10" i="40"/>
  <c r="X47" i="39"/>
  <c r="I94" i="38"/>
  <c r="U91" i="39"/>
  <c r="U98" i="39" s="1"/>
  <c r="U105" i="39" s="1"/>
  <c r="X73" i="39"/>
  <c r="X67" i="39"/>
  <c r="X35" i="39"/>
  <c r="S107" i="28"/>
  <c r="I54" i="39"/>
  <c r="I61" i="39"/>
  <c r="S45" i="28"/>
  <c r="X54" i="39"/>
  <c r="K105" i="40"/>
  <c r="K95" i="40"/>
  <c r="T112" i="40"/>
  <c r="T109" i="40" s="1"/>
  <c r="T102" i="40"/>
  <c r="I67" i="39"/>
  <c r="R12" i="28"/>
  <c r="M105" i="40"/>
  <c r="M95" i="40"/>
  <c r="O112" i="40"/>
  <c r="O109" i="40" s="1"/>
  <c r="O102" i="40"/>
  <c r="AB30" i="28"/>
  <c r="L105" i="40"/>
  <c r="L95" i="40"/>
  <c r="S112" i="40"/>
  <c r="S109" i="40" s="1"/>
  <c r="S102" i="40"/>
  <c r="U98" i="40"/>
  <c r="U88" i="40"/>
  <c r="S97" i="28"/>
  <c r="I47" i="39"/>
  <c r="W6" i="40"/>
  <c r="AA3" i="40"/>
  <c r="AB3" i="40" s="1"/>
  <c r="R10" i="28"/>
  <c r="S87" i="28"/>
  <c r="I40" i="39"/>
  <c r="J98" i="40"/>
  <c r="J88" i="40"/>
  <c r="V91" i="40"/>
  <c r="Q105" i="40"/>
  <c r="Q95" i="40"/>
  <c r="T98" i="39"/>
  <c r="T105" i="39" s="1"/>
  <c r="X61" i="39"/>
  <c r="N112" i="40"/>
  <c r="N109" i="40" s="1"/>
  <c r="N102" i="40"/>
  <c r="R112" i="40"/>
  <c r="R109" i="40" s="1"/>
  <c r="R102" i="40"/>
  <c r="R98" i="39"/>
  <c r="R105" i="39" s="1"/>
  <c r="K91" i="39"/>
  <c r="L98" i="39"/>
  <c r="L105" i="39" s="1"/>
  <c r="N98" i="39"/>
  <c r="N105" i="39" s="1"/>
  <c r="P98" i="39"/>
  <c r="P105" i="39" s="1"/>
  <c r="W7" i="39"/>
  <c r="X7" i="39" s="1"/>
  <c r="I3" i="39"/>
  <c r="T16" i="19"/>
  <c r="W3" i="39"/>
  <c r="I7" i="39"/>
  <c r="I6" i="39" s="1"/>
  <c r="W16" i="19"/>
  <c r="V17" i="33"/>
  <c r="V21" i="33" s="1"/>
  <c r="V90" i="37"/>
  <c r="I93" i="37"/>
  <c r="I68" i="33"/>
  <c r="I67" i="33" s="1"/>
  <c r="X54" i="34"/>
  <c r="V61" i="33"/>
  <c r="I41" i="33"/>
  <c r="I40" i="33" s="1"/>
  <c r="I68" i="35"/>
  <c r="I67" i="35" s="1"/>
  <c r="W68" i="33"/>
  <c r="W73" i="33" s="1"/>
  <c r="X73" i="33" s="1"/>
  <c r="I62" i="35"/>
  <c r="I61" i="35" s="1"/>
  <c r="W41" i="33"/>
  <c r="W47" i="33" s="1"/>
  <c r="X47" i="33" s="1"/>
  <c r="I62" i="33"/>
  <c r="I61" i="33" s="1"/>
  <c r="W48" i="35"/>
  <c r="W54" i="35" s="1"/>
  <c r="X54" i="35" s="1"/>
  <c r="I55" i="35"/>
  <c r="I54" i="35" s="1"/>
  <c r="W55" i="33"/>
  <c r="W61" i="33" s="1"/>
  <c r="X47" i="34"/>
  <c r="W17" i="35"/>
  <c r="W21" i="35" s="1"/>
  <c r="W41" i="35"/>
  <c r="W47" i="35" s="1"/>
  <c r="X47" i="35" s="1"/>
  <c r="X17" i="34"/>
  <c r="W22" i="33"/>
  <c r="W26" i="33" s="1"/>
  <c r="I31" i="35"/>
  <c r="I30" i="35" s="1"/>
  <c r="W68" i="35"/>
  <c r="W73" i="35" s="1"/>
  <c r="X73" i="35" s="1"/>
  <c r="I6" i="33"/>
  <c r="W10" i="33"/>
  <c r="X7" i="33"/>
  <c r="W22" i="35"/>
  <c r="W26" i="35" s="1"/>
  <c r="X26" i="35" s="1"/>
  <c r="AA3" i="37"/>
  <c r="AB3" i="37" s="1"/>
  <c r="X61" i="34"/>
  <c r="I22" i="35"/>
  <c r="I21" i="35" s="1"/>
  <c r="U98" i="33"/>
  <c r="U105" i="33" s="1"/>
  <c r="U112" i="33" s="1"/>
  <c r="V31" i="33"/>
  <c r="V35" i="33" s="1"/>
  <c r="I22" i="33"/>
  <c r="I21" i="33" s="1"/>
  <c r="W62" i="35"/>
  <c r="W67" i="35" s="1"/>
  <c r="X67" i="35" s="1"/>
  <c r="I48" i="35"/>
  <c r="I47" i="35" s="1"/>
  <c r="W62" i="33"/>
  <c r="W67" i="33" s="1"/>
  <c r="X67" i="34"/>
  <c r="V31" i="35"/>
  <c r="V35" i="35" s="1"/>
  <c r="W31" i="33"/>
  <c r="W35" i="33" s="1"/>
  <c r="V17" i="35"/>
  <c r="V21" i="35" s="1"/>
  <c r="X54" i="33"/>
  <c r="X35" i="34"/>
  <c r="W55" i="35"/>
  <c r="W61" i="35" s="1"/>
  <c r="X61" i="35" s="1"/>
  <c r="Z3" i="33"/>
  <c r="W31" i="35"/>
  <c r="W35" i="35" s="1"/>
  <c r="I17" i="33"/>
  <c r="I16" i="33" s="1"/>
  <c r="I55" i="33"/>
  <c r="I54" i="33" s="1"/>
  <c r="W17" i="33"/>
  <c r="W21" i="33" s="1"/>
  <c r="I31" i="33"/>
  <c r="I30" i="33" s="1"/>
  <c r="X73" i="34"/>
  <c r="I41" i="35"/>
  <c r="I40" i="35" s="1"/>
  <c r="X26" i="34"/>
  <c r="I48" i="33"/>
  <c r="I47" i="33" s="1"/>
  <c r="I17" i="35"/>
  <c r="I16" i="35" s="1"/>
  <c r="L11" i="19"/>
  <c r="L18" i="19" s="1"/>
  <c r="L25" i="19" s="1"/>
  <c r="L33" i="19" s="1"/>
  <c r="L41" i="19" s="1"/>
  <c r="L47" i="19" s="1"/>
  <c r="L54" i="19" s="1"/>
  <c r="L62" i="19" s="1"/>
  <c r="L70" i="19" s="1"/>
  <c r="L80" i="19" s="1"/>
  <c r="L90" i="19" s="1"/>
  <c r="L101" i="19" s="1"/>
  <c r="L110" i="19" s="1"/>
  <c r="L119" i="19" s="1"/>
  <c r="L126" i="19" s="1"/>
  <c r="L133" i="19" s="1"/>
  <c r="I11" i="19"/>
  <c r="I18" i="19" s="1"/>
  <c r="I25" i="19" s="1"/>
  <c r="I33" i="19" s="1"/>
  <c r="I41" i="19" s="1"/>
  <c r="I47" i="19" s="1"/>
  <c r="I54" i="19" s="1"/>
  <c r="I62" i="19" s="1"/>
  <c r="I70" i="19" s="1"/>
  <c r="I80" i="19" s="1"/>
  <c r="I90" i="19" s="1"/>
  <c r="I101" i="19" s="1"/>
  <c r="I110" i="19" s="1"/>
  <c r="I119" i="19" s="1"/>
  <c r="I126" i="19" s="1"/>
  <c r="I133" i="19" s="1"/>
  <c r="I138" i="19" s="1"/>
  <c r="I143" i="19" s="1"/>
  <c r="K11" i="19"/>
  <c r="K18" i="19" s="1"/>
  <c r="K25" i="19" s="1"/>
  <c r="K33" i="19" s="1"/>
  <c r="K41" i="19" s="1"/>
  <c r="K47" i="19" s="1"/>
  <c r="K54" i="19" s="1"/>
  <c r="K62" i="19" s="1"/>
  <c r="K70" i="19" s="1"/>
  <c r="K80" i="19" s="1"/>
  <c r="K90" i="19" s="1"/>
  <c r="K101" i="19" s="1"/>
  <c r="K110" i="19" s="1"/>
  <c r="K119" i="19" s="1"/>
  <c r="K126" i="19" s="1"/>
  <c r="K133" i="19" s="1"/>
  <c r="H11" i="19"/>
  <c r="H18" i="19" s="1"/>
  <c r="H25" i="19" s="1"/>
  <c r="H33" i="19" s="1"/>
  <c r="H41" i="19" s="1"/>
  <c r="H47" i="19" s="1"/>
  <c r="H54" i="19" s="1"/>
  <c r="H62" i="19" s="1"/>
  <c r="H70" i="19" s="1"/>
  <c r="H80" i="19" s="1"/>
  <c r="H90" i="19" s="1"/>
  <c r="H101" i="19" s="1"/>
  <c r="N109" i="41" l="1"/>
  <c r="N116" i="41" s="1"/>
  <c r="O109" i="41"/>
  <c r="O116" i="41" s="1"/>
  <c r="P109" i="41"/>
  <c r="P116" i="41" s="1"/>
  <c r="M109" i="41"/>
  <c r="M116" i="41" s="1"/>
  <c r="Q109" i="41"/>
  <c r="Q116" i="41" s="1"/>
  <c r="R109" i="41"/>
  <c r="R116" i="41" s="1"/>
  <c r="S109" i="41"/>
  <c r="S116" i="41" s="1"/>
  <c r="T109" i="41"/>
  <c r="T116" i="41" s="1"/>
  <c r="Z3" i="39"/>
  <c r="S9" i="28"/>
  <c r="I44" i="41"/>
  <c r="C18" i="30" s="1"/>
  <c r="X51" i="41"/>
  <c r="V6" i="39"/>
  <c r="K102" i="41"/>
  <c r="L102" i="41"/>
  <c r="P102" i="40"/>
  <c r="Z3" i="41"/>
  <c r="V6" i="41"/>
  <c r="U95" i="41"/>
  <c r="W3" i="41"/>
  <c r="T10" i="28" s="1"/>
  <c r="T5" i="28" s="1"/>
  <c r="U5" i="28" s="1"/>
  <c r="V5" i="28" s="1"/>
  <c r="I3" i="41"/>
  <c r="C6" i="30" s="1"/>
  <c r="X7" i="41"/>
  <c r="W10" i="41"/>
  <c r="AB8" i="28"/>
  <c r="Q149" i="28"/>
  <c r="Q152" i="28" s="1"/>
  <c r="S10" i="28"/>
  <c r="AA8" i="28" s="1"/>
  <c r="Q112" i="40"/>
  <c r="Q109" i="40" s="1"/>
  <c r="Q102" i="40"/>
  <c r="V98" i="40"/>
  <c r="J105" i="40"/>
  <c r="J95" i="40"/>
  <c r="AB100" i="28"/>
  <c r="AB80" i="28"/>
  <c r="L112" i="40"/>
  <c r="L109" i="40" s="1"/>
  <c r="L102" i="40"/>
  <c r="U105" i="40"/>
  <c r="U95" i="40"/>
  <c r="AB47" i="28"/>
  <c r="R13" i="28"/>
  <c r="R134" i="28" s="1"/>
  <c r="AB90" i="28"/>
  <c r="K112" i="40"/>
  <c r="K109" i="40" s="1"/>
  <c r="K102" i="40"/>
  <c r="M112" i="40"/>
  <c r="M109" i="40" s="1"/>
  <c r="M102" i="40"/>
  <c r="AB38" i="28"/>
  <c r="V88" i="40"/>
  <c r="R139" i="28" s="1"/>
  <c r="W10" i="39"/>
  <c r="K98" i="39"/>
  <c r="K105" i="39" s="1"/>
  <c r="I2" i="39"/>
  <c r="M112" i="39"/>
  <c r="P112" i="39"/>
  <c r="R112" i="39"/>
  <c r="AA3" i="39"/>
  <c r="W6" i="39"/>
  <c r="N112" i="39"/>
  <c r="T112" i="39"/>
  <c r="O112" i="39"/>
  <c r="S112" i="39"/>
  <c r="V91" i="39"/>
  <c r="Q112" i="39"/>
  <c r="X17" i="33"/>
  <c r="X17" i="35"/>
  <c r="X61" i="33"/>
  <c r="X26" i="33"/>
  <c r="X35" i="33"/>
  <c r="X67" i="33"/>
  <c r="X35" i="35"/>
  <c r="H119" i="19"/>
  <c r="H126" i="19" s="1"/>
  <c r="H133" i="19" s="1"/>
  <c r="H138" i="19" s="1"/>
  <c r="H143" i="19" s="1"/>
  <c r="H110" i="19"/>
  <c r="N30" i="19"/>
  <c r="N130" i="19"/>
  <c r="N116" i="19"/>
  <c r="N93" i="19"/>
  <c r="N87" i="19"/>
  <c r="N84" i="19"/>
  <c r="N83" i="19"/>
  <c r="M67" i="19"/>
  <c r="P67" i="19" s="1"/>
  <c r="L67" i="19"/>
  <c r="O67" i="19" s="1"/>
  <c r="M66" i="19"/>
  <c r="P66" i="19" s="1"/>
  <c r="L66" i="19"/>
  <c r="M65" i="19"/>
  <c r="P65" i="19" s="1"/>
  <c r="L65" i="19"/>
  <c r="M64" i="19"/>
  <c r="P64" i="19" s="1"/>
  <c r="L64" i="19"/>
  <c r="N57" i="19"/>
  <c r="N56" i="19"/>
  <c r="N14" i="19"/>
  <c r="K109" i="41" l="1"/>
  <c r="K116" i="41" s="1"/>
  <c r="L109" i="41"/>
  <c r="L116" i="41" s="1"/>
  <c r="AB3" i="39"/>
  <c r="U102" i="41"/>
  <c r="I2" i="41"/>
  <c r="AA3" i="41"/>
  <c r="AB3" i="41" s="1"/>
  <c r="W6" i="41"/>
  <c r="V95" i="41"/>
  <c r="U112" i="40"/>
  <c r="U109" i="40" s="1"/>
  <c r="U102" i="40"/>
  <c r="V95" i="40"/>
  <c r="J102" i="40"/>
  <c r="V105" i="40"/>
  <c r="J112" i="40"/>
  <c r="L112" i="39"/>
  <c r="V98" i="39"/>
  <c r="K112" i="39"/>
  <c r="R67" i="19"/>
  <c r="U67" i="19" s="1"/>
  <c r="X67" i="19" s="1"/>
  <c r="S67" i="19"/>
  <c r="V67" i="19" s="1"/>
  <c r="Y67" i="19" s="1"/>
  <c r="S66" i="19"/>
  <c r="V66" i="19" s="1"/>
  <c r="Y66" i="19" s="1"/>
  <c r="S64" i="19"/>
  <c r="S65" i="19"/>
  <c r="V65" i="19" s="1"/>
  <c r="Y65" i="19" s="1"/>
  <c r="O64" i="19"/>
  <c r="O65" i="19"/>
  <c r="O66" i="19"/>
  <c r="N104" i="19"/>
  <c r="N82" i="19"/>
  <c r="N121" i="19"/>
  <c r="N73" i="19"/>
  <c r="N59" i="19"/>
  <c r="N72" i="19"/>
  <c r="N96" i="19"/>
  <c r="N44" i="19"/>
  <c r="N45" i="19" s="1"/>
  <c r="N58" i="19"/>
  <c r="N85" i="19"/>
  <c r="N112" i="19"/>
  <c r="N97" i="19"/>
  <c r="N36" i="19"/>
  <c r="N115" i="19"/>
  <c r="N38" i="19"/>
  <c r="N74" i="19"/>
  <c r="N7" i="19"/>
  <c r="N92" i="19"/>
  <c r="N105" i="19"/>
  <c r="N77" i="19"/>
  <c r="N15" i="19"/>
  <c r="N16" i="19" s="1"/>
  <c r="N37" i="19"/>
  <c r="N28" i="19"/>
  <c r="N107" i="19"/>
  <c r="N94" i="19"/>
  <c r="N21" i="19"/>
  <c r="N128" i="19"/>
  <c r="N106" i="19"/>
  <c r="N103" i="19"/>
  <c r="N95" i="19"/>
  <c r="N75" i="19"/>
  <c r="N50" i="19"/>
  <c r="N35" i="19"/>
  <c r="N29" i="19"/>
  <c r="N27" i="19"/>
  <c r="N22" i="19"/>
  <c r="N8" i="19"/>
  <c r="N135" i="19"/>
  <c r="N136" i="19" s="1"/>
  <c r="N129" i="19"/>
  <c r="N122" i="19"/>
  <c r="N123" i="19"/>
  <c r="N114" i="19"/>
  <c r="N113" i="19"/>
  <c r="N86" i="19"/>
  <c r="N76" i="19"/>
  <c r="N67" i="19"/>
  <c r="U109" i="41" l="1"/>
  <c r="U116" i="41" s="1"/>
  <c r="R36" i="39"/>
  <c r="T36" i="39"/>
  <c r="T90" i="39" s="1"/>
  <c r="L36" i="39"/>
  <c r="M36" i="39"/>
  <c r="M90" i="39" s="1"/>
  <c r="S36" i="39"/>
  <c r="S90" i="39" s="1"/>
  <c r="U36" i="39"/>
  <c r="J36" i="39"/>
  <c r="K36" i="39"/>
  <c r="N36" i="39"/>
  <c r="N90" i="39" s="1"/>
  <c r="O36" i="39"/>
  <c r="O90" i="39" s="1"/>
  <c r="P36" i="39"/>
  <c r="P90" i="39" s="1"/>
  <c r="Q36" i="39"/>
  <c r="Q90" i="39" s="1"/>
  <c r="V102" i="41"/>
  <c r="V64" i="19"/>
  <c r="R90" i="39"/>
  <c r="V112" i="40"/>
  <c r="J109" i="40"/>
  <c r="V109" i="40" s="1"/>
  <c r="V102" i="40"/>
  <c r="V105" i="39"/>
  <c r="J112" i="39"/>
  <c r="U112" i="39"/>
  <c r="W67" i="19"/>
  <c r="O36" i="18"/>
  <c r="P36" i="18"/>
  <c r="Q36" i="18"/>
  <c r="R36" i="18"/>
  <c r="S36" i="18"/>
  <c r="T36" i="18"/>
  <c r="U36" i="18"/>
  <c r="J36" i="18"/>
  <c r="K36" i="18"/>
  <c r="L36" i="18"/>
  <c r="M36" i="18"/>
  <c r="N36" i="18"/>
  <c r="N131" i="19"/>
  <c r="T67" i="19"/>
  <c r="R65" i="19"/>
  <c r="R64" i="19"/>
  <c r="R66" i="19"/>
  <c r="Q67" i="19"/>
  <c r="N66" i="19"/>
  <c r="N60" i="19"/>
  <c r="N65" i="19"/>
  <c r="N64" i="19"/>
  <c r="N88" i="19"/>
  <c r="N9" i="19"/>
  <c r="N117" i="19"/>
  <c r="N98" i="19"/>
  <c r="N108" i="19"/>
  <c r="N78" i="19"/>
  <c r="N39" i="19"/>
  <c r="N124" i="19"/>
  <c r="N23" i="19"/>
  <c r="N31" i="19"/>
  <c r="F11" i="19"/>
  <c r="F18" i="19" s="1"/>
  <c r="F25" i="19" s="1"/>
  <c r="F33" i="19" s="1"/>
  <c r="F41" i="19" s="1"/>
  <c r="F47" i="19" s="1"/>
  <c r="F54" i="19" s="1"/>
  <c r="F62" i="19" s="1"/>
  <c r="F70" i="19" s="1"/>
  <c r="F80" i="19" s="1"/>
  <c r="F90" i="19" s="1"/>
  <c r="F101" i="19" s="1"/>
  <c r="F110" i="19" s="1"/>
  <c r="F119" i="19" s="1"/>
  <c r="F126" i="19" s="1"/>
  <c r="Y64" i="19" l="1"/>
  <c r="N40" i="41"/>
  <c r="N94" i="41" s="1"/>
  <c r="N101" i="41" s="1"/>
  <c r="N108" i="41" s="1"/>
  <c r="P40" i="41"/>
  <c r="P94" i="41" s="1"/>
  <c r="P101" i="41" s="1"/>
  <c r="P108" i="41" s="1"/>
  <c r="Q40" i="41"/>
  <c r="Q94" i="41" s="1"/>
  <c r="Q101" i="41" s="1"/>
  <c r="Q108" i="41" s="1"/>
  <c r="J40" i="41"/>
  <c r="J94" i="41" s="1"/>
  <c r="J101" i="41" s="1"/>
  <c r="J108" i="41" s="1"/>
  <c r="O40" i="41"/>
  <c r="O94" i="41" s="1"/>
  <c r="O101" i="41" s="1"/>
  <c r="O108" i="41" s="1"/>
  <c r="K40" i="41"/>
  <c r="K94" i="41" s="1"/>
  <c r="K101" i="41" s="1"/>
  <c r="K108" i="41" s="1"/>
  <c r="L40" i="41"/>
  <c r="L94" i="41" s="1"/>
  <c r="L101" i="41" s="1"/>
  <c r="L108" i="41" s="1"/>
  <c r="R40" i="41"/>
  <c r="R94" i="41" s="1"/>
  <c r="R101" i="41" s="1"/>
  <c r="R108" i="41" s="1"/>
  <c r="S40" i="41"/>
  <c r="S94" i="41" s="1"/>
  <c r="S101" i="41" s="1"/>
  <c r="S108" i="41" s="1"/>
  <c r="T40" i="41"/>
  <c r="U40" i="41"/>
  <c r="U94" i="41" s="1"/>
  <c r="U101" i="41" s="1"/>
  <c r="U108" i="41" s="1"/>
  <c r="M40" i="41"/>
  <c r="M94" i="41" s="1"/>
  <c r="M101" i="41" s="1"/>
  <c r="M108" i="41" s="1"/>
  <c r="V109" i="41"/>
  <c r="J116" i="41"/>
  <c r="V116" i="41" s="1"/>
  <c r="V36" i="39"/>
  <c r="V40" i="39" s="1"/>
  <c r="L90" i="39"/>
  <c r="O97" i="39"/>
  <c r="O88" i="39"/>
  <c r="P97" i="39"/>
  <c r="P88" i="39"/>
  <c r="M97" i="39"/>
  <c r="M88" i="39"/>
  <c r="I36" i="39"/>
  <c r="J90" i="39"/>
  <c r="J88" i="39" s="1"/>
  <c r="N97" i="39"/>
  <c r="N88" i="39"/>
  <c r="S97" i="39"/>
  <c r="S88" i="39"/>
  <c r="Q97" i="39"/>
  <c r="Q88" i="39"/>
  <c r="T97" i="39"/>
  <c r="T88" i="39"/>
  <c r="R97" i="39"/>
  <c r="R88" i="39"/>
  <c r="W36" i="39"/>
  <c r="W40" i="39" s="1"/>
  <c r="U90" i="39"/>
  <c r="V112" i="39"/>
  <c r="M97" i="33"/>
  <c r="M104" i="33" s="1"/>
  <c r="M111" i="33" s="1"/>
  <c r="M36" i="34"/>
  <c r="J36" i="34"/>
  <c r="J86" i="18"/>
  <c r="U36" i="34"/>
  <c r="L36" i="34"/>
  <c r="U98" i="18"/>
  <c r="S97" i="33"/>
  <c r="S104" i="33" s="1"/>
  <c r="S111" i="33" s="1"/>
  <c r="S36" i="34"/>
  <c r="N97" i="33"/>
  <c r="N104" i="33" s="1"/>
  <c r="N111" i="33" s="1"/>
  <c r="N36" i="34"/>
  <c r="R36" i="34"/>
  <c r="Q97" i="33"/>
  <c r="Q104" i="33" s="1"/>
  <c r="Q111" i="33" s="1"/>
  <c r="Q36" i="34"/>
  <c r="P97" i="33"/>
  <c r="P104" i="33" s="1"/>
  <c r="P111" i="33" s="1"/>
  <c r="P36" i="34"/>
  <c r="K97" i="33"/>
  <c r="K104" i="33" s="1"/>
  <c r="K111" i="33" s="1"/>
  <c r="K36" i="34"/>
  <c r="T97" i="33"/>
  <c r="T104" i="33" s="1"/>
  <c r="T111" i="33" s="1"/>
  <c r="T36" i="34"/>
  <c r="O97" i="33"/>
  <c r="O104" i="33" s="1"/>
  <c r="O111" i="33" s="1"/>
  <c r="O36" i="34"/>
  <c r="O84" i="18"/>
  <c r="Q66" i="19"/>
  <c r="U66" i="19"/>
  <c r="Q64" i="19"/>
  <c r="U64" i="19"/>
  <c r="Q65" i="19"/>
  <c r="U65" i="19"/>
  <c r="N68" i="19"/>
  <c r="F133" i="19"/>
  <c r="F138" i="19" s="1"/>
  <c r="F143" i="19" s="1"/>
  <c r="T94" i="41" l="1"/>
  <c r="T101" i="41" s="1"/>
  <c r="T108" i="41" s="1"/>
  <c r="W40" i="41"/>
  <c r="W44" i="41" s="1"/>
  <c r="Q92" i="41"/>
  <c r="P92" i="41"/>
  <c r="O92" i="41"/>
  <c r="N92" i="41"/>
  <c r="M92" i="41"/>
  <c r="V40" i="41"/>
  <c r="V44" i="41" s="1"/>
  <c r="S92" i="41"/>
  <c r="R92" i="41"/>
  <c r="K92" i="41"/>
  <c r="I40" i="41"/>
  <c r="I39" i="41" s="1"/>
  <c r="M99" i="41"/>
  <c r="O99" i="41"/>
  <c r="J92" i="41"/>
  <c r="Q99" i="41"/>
  <c r="N99" i="41"/>
  <c r="P99" i="41"/>
  <c r="S99" i="41"/>
  <c r="R99" i="41"/>
  <c r="K99" i="41"/>
  <c r="X40" i="39"/>
  <c r="N104" i="39"/>
  <c r="N95" i="39"/>
  <c r="U97" i="39"/>
  <c r="U88" i="39"/>
  <c r="R104" i="39"/>
  <c r="R95" i="39"/>
  <c r="M104" i="39"/>
  <c r="M95" i="39"/>
  <c r="T104" i="39"/>
  <c r="T95" i="39"/>
  <c r="P104" i="39"/>
  <c r="P95" i="39"/>
  <c r="Q104" i="39"/>
  <c r="Q95" i="39"/>
  <c r="J97" i="39"/>
  <c r="I35" i="39"/>
  <c r="S79" i="28"/>
  <c r="O104" i="39"/>
  <c r="O95" i="39"/>
  <c r="S104" i="39"/>
  <c r="S95" i="39"/>
  <c r="L97" i="39"/>
  <c r="L88" i="39"/>
  <c r="T65" i="19"/>
  <c r="X65" i="19"/>
  <c r="W65" i="19" s="1"/>
  <c r="T64" i="19"/>
  <c r="X64" i="19"/>
  <c r="W64" i="19" s="1"/>
  <c r="T66" i="19"/>
  <c r="X66" i="19"/>
  <c r="W66" i="19" s="1"/>
  <c r="R97" i="33"/>
  <c r="R104" i="33" s="1"/>
  <c r="R111" i="33" s="1"/>
  <c r="R87" i="37"/>
  <c r="L36" i="35"/>
  <c r="V36" i="34"/>
  <c r="V40" i="34" s="1"/>
  <c r="L98" i="34"/>
  <c r="L96" i="34" s="1"/>
  <c r="L86" i="34"/>
  <c r="L89" i="34" s="1"/>
  <c r="L84" i="34"/>
  <c r="K36" i="35"/>
  <c r="K89" i="35" s="1"/>
  <c r="K84" i="34"/>
  <c r="K86" i="34"/>
  <c r="K89" i="34" s="1"/>
  <c r="K98" i="34"/>
  <c r="K96" i="34" s="1"/>
  <c r="P36" i="35"/>
  <c r="P89" i="35" s="1"/>
  <c r="P84" i="34"/>
  <c r="P98" i="34"/>
  <c r="P96" i="34" s="1"/>
  <c r="P86" i="34"/>
  <c r="P89" i="34" s="1"/>
  <c r="V36" i="37"/>
  <c r="U36" i="35"/>
  <c r="W36" i="34"/>
  <c r="W40" i="34" s="1"/>
  <c r="U84" i="34"/>
  <c r="U98" i="34"/>
  <c r="U96" i="34" s="1"/>
  <c r="U86" i="34"/>
  <c r="U89" i="34" s="1"/>
  <c r="T36" i="35"/>
  <c r="T89" i="35" s="1"/>
  <c r="T84" i="34"/>
  <c r="T86" i="34"/>
  <c r="T89" i="34" s="1"/>
  <c r="T98" i="34"/>
  <c r="T96" i="34" s="1"/>
  <c r="U97" i="33"/>
  <c r="U104" i="33" s="1"/>
  <c r="U111" i="33" s="1"/>
  <c r="S36" i="35"/>
  <c r="S89" i="35" s="1"/>
  <c r="S86" i="34"/>
  <c r="S89" i="34" s="1"/>
  <c r="S84" i="34"/>
  <c r="S98" i="34"/>
  <c r="S96" i="34" s="1"/>
  <c r="Q36" i="35"/>
  <c r="Q89" i="35" s="1"/>
  <c r="Q98" i="34"/>
  <c r="Q96" i="34" s="1"/>
  <c r="Q86" i="34"/>
  <c r="Q89" i="34" s="1"/>
  <c r="Q84" i="34"/>
  <c r="R36" i="35"/>
  <c r="R89" i="35" s="1"/>
  <c r="R84" i="34"/>
  <c r="R98" i="34"/>
  <c r="R96" i="34" s="1"/>
  <c r="R86" i="34"/>
  <c r="R89" i="34" s="1"/>
  <c r="J36" i="35"/>
  <c r="I36" i="34"/>
  <c r="I35" i="34" s="1"/>
  <c r="I89" i="34" s="1"/>
  <c r="I91" i="34" s="1"/>
  <c r="K91" i="34" s="1"/>
  <c r="J84" i="34"/>
  <c r="J98" i="34"/>
  <c r="J86" i="34"/>
  <c r="J89" i="34" s="1"/>
  <c r="W36" i="37"/>
  <c r="I36" i="37"/>
  <c r="O36" i="35"/>
  <c r="O89" i="35" s="1"/>
  <c r="O86" i="34"/>
  <c r="O89" i="34" s="1"/>
  <c r="O84" i="34"/>
  <c r="O98" i="34"/>
  <c r="O96" i="34" s="1"/>
  <c r="N36" i="35"/>
  <c r="N89" i="35" s="1"/>
  <c r="N86" i="34"/>
  <c r="N89" i="34" s="1"/>
  <c r="N98" i="34"/>
  <c r="N96" i="34" s="1"/>
  <c r="N84" i="34"/>
  <c r="M36" i="35"/>
  <c r="M89" i="35" s="1"/>
  <c r="M84" i="34"/>
  <c r="M86" i="34"/>
  <c r="M89" i="34" s="1"/>
  <c r="M98" i="34"/>
  <c r="M96" i="34" s="1"/>
  <c r="Q68" i="19"/>
  <c r="U99" i="18"/>
  <c r="U110" i="18" s="1"/>
  <c r="U118" i="18" s="1"/>
  <c r="T99" i="18"/>
  <c r="T110" i="18" s="1"/>
  <c r="T118" i="18" s="1"/>
  <c r="S99" i="18"/>
  <c r="S110" i="18" s="1"/>
  <c r="S118" i="18" s="1"/>
  <c r="R99" i="18"/>
  <c r="R110" i="18" s="1"/>
  <c r="Q99" i="18"/>
  <c r="Q110" i="18" s="1"/>
  <c r="Q118" i="18" s="1"/>
  <c r="P99" i="18"/>
  <c r="P110" i="18" s="1"/>
  <c r="O99" i="18"/>
  <c r="O110" i="18" s="1"/>
  <c r="O118" i="18" s="1"/>
  <c r="N99" i="18"/>
  <c r="N110" i="18" s="1"/>
  <c r="N118" i="18" s="1"/>
  <c r="M99" i="18"/>
  <c r="M110" i="18" s="1"/>
  <c r="M118" i="18" s="1"/>
  <c r="L99" i="18"/>
  <c r="L110" i="18" s="1"/>
  <c r="L118" i="18" s="1"/>
  <c r="K99" i="18"/>
  <c r="K110" i="18" s="1"/>
  <c r="K118" i="18" s="1"/>
  <c r="T98" i="18"/>
  <c r="S98" i="18"/>
  <c r="R98" i="18"/>
  <c r="Q98" i="18"/>
  <c r="P98" i="18"/>
  <c r="O98" i="18"/>
  <c r="N98" i="18"/>
  <c r="M98" i="18"/>
  <c r="L98" i="18"/>
  <c r="K98" i="18"/>
  <c r="T97" i="18"/>
  <c r="S97" i="18"/>
  <c r="R97" i="18"/>
  <c r="Q97" i="18"/>
  <c r="P97" i="18"/>
  <c r="O97" i="18"/>
  <c r="N97" i="18"/>
  <c r="M97" i="18"/>
  <c r="L97" i="18"/>
  <c r="K97" i="18"/>
  <c r="J97" i="18"/>
  <c r="U84" i="18"/>
  <c r="U88" i="18"/>
  <c r="U87" i="18"/>
  <c r="U86" i="18"/>
  <c r="U85" i="18"/>
  <c r="T88" i="18"/>
  <c r="S88" i="18"/>
  <c r="R88" i="18"/>
  <c r="Q88" i="18"/>
  <c r="P88" i="18"/>
  <c r="O88" i="18"/>
  <c r="N88" i="18"/>
  <c r="M88" i="18"/>
  <c r="L88" i="18"/>
  <c r="T87" i="18"/>
  <c r="S87" i="18"/>
  <c r="R87" i="18"/>
  <c r="Q87" i="18"/>
  <c r="P87" i="18"/>
  <c r="O87" i="18"/>
  <c r="N87" i="18"/>
  <c r="M87" i="18"/>
  <c r="L87" i="18"/>
  <c r="K87" i="18"/>
  <c r="T86" i="18"/>
  <c r="S86" i="18"/>
  <c r="R86" i="18"/>
  <c r="Q86" i="18"/>
  <c r="P86" i="18"/>
  <c r="O86" i="18"/>
  <c r="N86" i="18"/>
  <c r="M86" i="18"/>
  <c r="L86" i="18"/>
  <c r="K86" i="18"/>
  <c r="T85" i="18"/>
  <c r="S85" i="18"/>
  <c r="R85" i="18"/>
  <c r="Q85" i="18"/>
  <c r="P85" i="18"/>
  <c r="N85" i="18"/>
  <c r="M85" i="18"/>
  <c r="L85" i="18"/>
  <c r="K85" i="18"/>
  <c r="T84" i="18"/>
  <c r="S84" i="18"/>
  <c r="R84" i="18"/>
  <c r="Q84" i="18"/>
  <c r="P84" i="18"/>
  <c r="N84" i="18"/>
  <c r="M84" i="18"/>
  <c r="L84" i="18"/>
  <c r="I83" i="18"/>
  <c r="T92" i="41" l="1"/>
  <c r="X44" i="41"/>
  <c r="C17" i="30"/>
  <c r="C25" i="30" s="1"/>
  <c r="T79" i="28"/>
  <c r="T151" i="28" s="1"/>
  <c r="T99" i="41"/>
  <c r="U92" i="41"/>
  <c r="V94" i="41"/>
  <c r="L92" i="41"/>
  <c r="L99" i="41"/>
  <c r="N115" i="41"/>
  <c r="N113" i="41" s="1"/>
  <c r="N106" i="41"/>
  <c r="O115" i="41"/>
  <c r="O113" i="41" s="1"/>
  <c r="O106" i="41"/>
  <c r="R115" i="41"/>
  <c r="R113" i="41" s="1"/>
  <c r="R106" i="41"/>
  <c r="U99" i="41"/>
  <c r="S115" i="41"/>
  <c r="S113" i="41" s="1"/>
  <c r="S106" i="41"/>
  <c r="V101" i="41"/>
  <c r="J99" i="41"/>
  <c r="P115" i="41"/>
  <c r="P113" i="41" s="1"/>
  <c r="P106" i="41"/>
  <c r="Q115" i="41"/>
  <c r="Q113" i="41" s="1"/>
  <c r="Q106" i="41"/>
  <c r="K115" i="41"/>
  <c r="K113" i="41" s="1"/>
  <c r="K106" i="41"/>
  <c r="T115" i="41"/>
  <c r="T113" i="41" s="1"/>
  <c r="T106" i="41"/>
  <c r="M115" i="41"/>
  <c r="M113" i="41" s="1"/>
  <c r="M106" i="41"/>
  <c r="P111" i="39"/>
  <c r="P109" i="39" s="1"/>
  <c r="P102" i="39"/>
  <c r="S111" i="39"/>
  <c r="S109" i="39" s="1"/>
  <c r="S102" i="39"/>
  <c r="T111" i="39"/>
  <c r="T109" i="39" s="1"/>
  <c r="T102" i="39"/>
  <c r="L104" i="39"/>
  <c r="L95" i="39"/>
  <c r="O111" i="39"/>
  <c r="O109" i="39" s="1"/>
  <c r="O102" i="39"/>
  <c r="M111" i="39"/>
  <c r="M109" i="39" s="1"/>
  <c r="M102" i="39"/>
  <c r="AB72" i="28"/>
  <c r="R111" i="39"/>
  <c r="R109" i="39" s="1"/>
  <c r="R102" i="39"/>
  <c r="U104" i="39"/>
  <c r="U95" i="39"/>
  <c r="J104" i="39"/>
  <c r="J95" i="39"/>
  <c r="Q111" i="39"/>
  <c r="Q109" i="39" s="1"/>
  <c r="Q102" i="39"/>
  <c r="N111" i="39"/>
  <c r="N109" i="39" s="1"/>
  <c r="N102" i="39"/>
  <c r="T68" i="19"/>
  <c r="W68" i="19"/>
  <c r="I36" i="33"/>
  <c r="I35" i="33" s="1"/>
  <c r="X40" i="34"/>
  <c r="T96" i="35"/>
  <c r="T87" i="35"/>
  <c r="K103" i="34"/>
  <c r="K100" i="34"/>
  <c r="K102" i="34" s="1"/>
  <c r="O96" i="35"/>
  <c r="O87" i="35"/>
  <c r="Q103" i="34"/>
  <c r="Q100" i="34"/>
  <c r="Q102" i="34" s="1"/>
  <c r="M96" i="35"/>
  <c r="M87" i="35"/>
  <c r="Q96" i="35"/>
  <c r="Q87" i="35"/>
  <c r="U103" i="34"/>
  <c r="U100" i="34"/>
  <c r="U102" i="34" s="1"/>
  <c r="J96" i="34"/>
  <c r="V98" i="34"/>
  <c r="V96" i="34" s="1"/>
  <c r="V100" i="34" s="1"/>
  <c r="S103" i="34"/>
  <c r="S100" i="34"/>
  <c r="S102" i="34" s="1"/>
  <c r="K96" i="35"/>
  <c r="K87" i="35"/>
  <c r="T103" i="34"/>
  <c r="T100" i="34"/>
  <c r="T102" i="34" s="1"/>
  <c r="M103" i="34"/>
  <c r="M100" i="34"/>
  <c r="M102" i="34" s="1"/>
  <c r="N103" i="34"/>
  <c r="N100" i="34"/>
  <c r="N102" i="34" s="1"/>
  <c r="V84" i="34"/>
  <c r="W36" i="35"/>
  <c r="W40" i="35" s="1"/>
  <c r="U89" i="35"/>
  <c r="N96" i="35"/>
  <c r="N87" i="35"/>
  <c r="I36" i="35"/>
  <c r="I35" i="35" s="1"/>
  <c r="J89" i="35"/>
  <c r="S96" i="35"/>
  <c r="S87" i="35"/>
  <c r="L100" i="34"/>
  <c r="L102" i="34" s="1"/>
  <c r="L103" i="34"/>
  <c r="P96" i="35"/>
  <c r="P87" i="35"/>
  <c r="O103" i="34"/>
  <c r="O100" i="34"/>
  <c r="O102" i="34" s="1"/>
  <c r="V36" i="33"/>
  <c r="V40" i="33" s="1"/>
  <c r="L97" i="33"/>
  <c r="L104" i="33" s="1"/>
  <c r="L111" i="33" s="1"/>
  <c r="P103" i="34"/>
  <c r="P100" i="34"/>
  <c r="P102" i="34" s="1"/>
  <c r="R96" i="35"/>
  <c r="R87" i="35"/>
  <c r="R103" i="34"/>
  <c r="R100" i="34"/>
  <c r="R102" i="34" s="1"/>
  <c r="W36" i="33"/>
  <c r="W40" i="33" s="1"/>
  <c r="V36" i="35"/>
  <c r="V40" i="35" s="1"/>
  <c r="L89" i="35"/>
  <c r="P89" i="18"/>
  <c r="M89" i="18"/>
  <c r="Q89" i="18"/>
  <c r="N89" i="18"/>
  <c r="R89" i="18"/>
  <c r="L89" i="18"/>
  <c r="T89" i="18"/>
  <c r="U89" i="18"/>
  <c r="K89" i="18"/>
  <c r="O89" i="18"/>
  <c r="S89" i="18"/>
  <c r="J108" i="18"/>
  <c r="Q96" i="18"/>
  <c r="Q108" i="18"/>
  <c r="P118" i="18"/>
  <c r="N108" i="18"/>
  <c r="N96" i="18"/>
  <c r="R108" i="18"/>
  <c r="R96" i="18"/>
  <c r="K108" i="18"/>
  <c r="K96" i="18"/>
  <c r="O108" i="18"/>
  <c r="O96" i="18"/>
  <c r="S108" i="18"/>
  <c r="S96" i="18"/>
  <c r="R118" i="18"/>
  <c r="M96" i="18"/>
  <c r="M108" i="18"/>
  <c r="U108" i="18"/>
  <c r="U96" i="18"/>
  <c r="L108" i="18"/>
  <c r="L96" i="18"/>
  <c r="P108" i="18"/>
  <c r="P96" i="18"/>
  <c r="T108" i="18"/>
  <c r="T96" i="18"/>
  <c r="P144" i="28"/>
  <c r="V92" i="41" l="1"/>
  <c r="T139" i="28" s="1"/>
  <c r="V99" i="41"/>
  <c r="U139" i="28" s="1"/>
  <c r="U115" i="41"/>
  <c r="U113" i="41" s="1"/>
  <c r="U106" i="41"/>
  <c r="J115" i="41"/>
  <c r="V108" i="41"/>
  <c r="J106" i="41"/>
  <c r="L115" i="41"/>
  <c r="L113" i="41" s="1"/>
  <c r="L106" i="41"/>
  <c r="J111" i="39"/>
  <c r="J109" i="39" s="1"/>
  <c r="J102" i="39"/>
  <c r="L111" i="39"/>
  <c r="L109" i="39" s="1"/>
  <c r="L102" i="39"/>
  <c r="U111" i="39"/>
  <c r="U109" i="39" s="1"/>
  <c r="U102" i="39"/>
  <c r="J96" i="35"/>
  <c r="V89" i="35"/>
  <c r="J87" i="35"/>
  <c r="M103" i="35"/>
  <c r="M101" i="35" s="1"/>
  <c r="M94" i="35"/>
  <c r="U96" i="35"/>
  <c r="U87" i="35"/>
  <c r="O103" i="35"/>
  <c r="O101" i="35" s="1"/>
  <c r="O94" i="35"/>
  <c r="X40" i="33"/>
  <c r="K103" i="35"/>
  <c r="K101" i="35" s="1"/>
  <c r="K94" i="35"/>
  <c r="X40" i="35"/>
  <c r="N103" i="35"/>
  <c r="N101" i="35" s="1"/>
  <c r="N94" i="35"/>
  <c r="P103" i="35"/>
  <c r="P101" i="35" s="1"/>
  <c r="P94" i="35"/>
  <c r="J103" i="34"/>
  <c r="J100" i="34"/>
  <c r="J102" i="34" s="1"/>
  <c r="S103" i="35"/>
  <c r="S101" i="35" s="1"/>
  <c r="S94" i="35"/>
  <c r="T103" i="35"/>
  <c r="T101" i="35" s="1"/>
  <c r="T94" i="35"/>
  <c r="L96" i="35"/>
  <c r="L87" i="35"/>
  <c r="R103" i="35"/>
  <c r="R101" i="35" s="1"/>
  <c r="R94" i="35"/>
  <c r="Q103" i="35"/>
  <c r="Q101" i="35" s="1"/>
  <c r="Q94" i="35"/>
  <c r="P116" i="18"/>
  <c r="P115" i="18" s="1"/>
  <c r="P107" i="18"/>
  <c r="P111" i="18" s="1"/>
  <c r="Q116" i="18"/>
  <c r="Q115" i="18" s="1"/>
  <c r="Q107" i="18"/>
  <c r="Q111" i="18" s="1"/>
  <c r="U116" i="18"/>
  <c r="U107" i="18"/>
  <c r="U111" i="18" s="1"/>
  <c r="S116" i="18"/>
  <c r="S107" i="18"/>
  <c r="S111" i="18" s="1"/>
  <c r="K107" i="18"/>
  <c r="K111" i="18" s="1"/>
  <c r="K116" i="18"/>
  <c r="K115" i="18" s="1"/>
  <c r="N107" i="18"/>
  <c r="N111" i="18" s="1"/>
  <c r="N116" i="18"/>
  <c r="N115" i="18" s="1"/>
  <c r="T116" i="18"/>
  <c r="T107" i="18"/>
  <c r="T111" i="18" s="1"/>
  <c r="L116" i="18"/>
  <c r="L115" i="18" s="1"/>
  <c r="L107" i="18"/>
  <c r="L111" i="18" s="1"/>
  <c r="M116" i="18"/>
  <c r="M115" i="18" s="1"/>
  <c r="M107" i="18"/>
  <c r="M111" i="18" s="1"/>
  <c r="O116" i="18"/>
  <c r="O115" i="18" s="1"/>
  <c r="O107" i="18"/>
  <c r="O111" i="18" s="1"/>
  <c r="R107" i="18"/>
  <c r="R111" i="18" s="1"/>
  <c r="R116" i="18"/>
  <c r="R115" i="18" s="1"/>
  <c r="J116" i="18"/>
  <c r="J115" i="18" s="1"/>
  <c r="J107" i="18"/>
  <c r="V115" i="41" l="1"/>
  <c r="J113" i="41"/>
  <c r="V113" i="41" s="1"/>
  <c r="V106" i="41"/>
  <c r="V139" i="28" s="1"/>
  <c r="U103" i="35"/>
  <c r="U101" i="35" s="1"/>
  <c r="U94" i="35"/>
  <c r="V87" i="35"/>
  <c r="O93" i="34" s="1"/>
  <c r="O94" i="34" s="1"/>
  <c r="L103" i="35"/>
  <c r="L101" i="35" s="1"/>
  <c r="L94" i="35"/>
  <c r="J103" i="35"/>
  <c r="V96" i="35"/>
  <c r="J94" i="35"/>
  <c r="S115" i="18"/>
  <c r="S124" i="18"/>
  <c r="U115" i="18"/>
  <c r="U124" i="18"/>
  <c r="T115" i="18"/>
  <c r="T124" i="18"/>
  <c r="R17" i="31"/>
  <c r="V94" i="35" l="1"/>
  <c r="V103" i="35"/>
  <c r="J101" i="35"/>
  <c r="V101" i="35" s="1"/>
  <c r="F5" i="31"/>
  <c r="O18" i="31" l="1"/>
  <c r="O20" i="31" s="1"/>
  <c r="N18" i="31"/>
  <c r="N20" i="31" s="1"/>
  <c r="M18" i="31"/>
  <c r="M20" i="31" s="1"/>
  <c r="L18" i="31"/>
  <c r="L20" i="31" s="1"/>
  <c r="K18" i="31"/>
  <c r="K20" i="31" s="1"/>
  <c r="J18" i="31"/>
  <c r="J20" i="31" s="1"/>
  <c r="I18" i="31"/>
  <c r="I20" i="31" s="1"/>
  <c r="H18" i="31"/>
  <c r="H20" i="31" s="1"/>
  <c r="G18" i="31"/>
  <c r="G20" i="31" s="1"/>
  <c r="F18" i="31"/>
  <c r="F20" i="31" s="1"/>
  <c r="E18" i="31"/>
  <c r="E20" i="31" s="1"/>
  <c r="D18" i="31"/>
  <c r="P18" i="31" l="1"/>
  <c r="D20" i="31"/>
  <c r="P20" i="31" s="1"/>
  <c r="F6" i="31" l="1"/>
  <c r="G6" i="31" s="1"/>
  <c r="G5" i="31"/>
  <c r="G7" i="31" l="1"/>
  <c r="V100" i="29" l="1"/>
  <c r="U100" i="29"/>
  <c r="S100" i="29"/>
  <c r="T100" i="29"/>
  <c r="T110" i="29" s="1"/>
  <c r="J99" i="18" l="1"/>
  <c r="J110" i="18" s="1"/>
  <c r="J118" i="18" l="1"/>
  <c r="J111" i="18"/>
  <c r="R100" i="29"/>
  <c r="P143" i="28"/>
  <c r="P145" i="28" l="1"/>
  <c r="W134" i="28"/>
  <c r="X134" i="28" s="1"/>
  <c r="M126" i="28"/>
  <c r="W126" i="28" s="1"/>
  <c r="M125" i="28"/>
  <c r="W125" i="28" s="1"/>
  <c r="M124" i="28"/>
  <c r="W124" i="28" s="1"/>
  <c r="W123" i="28"/>
  <c r="W122" i="28"/>
  <c r="W121" i="28"/>
  <c r="M119" i="28"/>
  <c r="W119" i="28" s="1"/>
  <c r="M118" i="28"/>
  <c r="W118" i="28" s="1"/>
  <c r="M117" i="28"/>
  <c r="W117" i="28" s="1"/>
  <c r="M116" i="28"/>
  <c r="W116" i="28" s="1"/>
  <c r="M115" i="28"/>
  <c r="M114" i="28"/>
  <c r="W114" i="28" s="1"/>
  <c r="W109" i="28"/>
  <c r="W107" i="28"/>
  <c r="M106" i="28"/>
  <c r="W106" i="28" s="1"/>
  <c r="M105" i="28"/>
  <c r="W105" i="28" s="1"/>
  <c r="M104" i="28"/>
  <c r="W104" i="28" s="1"/>
  <c r="M103" i="28"/>
  <c r="W103" i="28" s="1"/>
  <c r="M102" i="28"/>
  <c r="W102" i="28" s="1"/>
  <c r="M101" i="28"/>
  <c r="W101" i="28" s="1"/>
  <c r="W99" i="28"/>
  <c r="M96" i="28"/>
  <c r="W96" i="28" s="1"/>
  <c r="M95" i="28"/>
  <c r="M94" i="28"/>
  <c r="W94" i="28" s="1"/>
  <c r="M93" i="28"/>
  <c r="W93" i="28" s="1"/>
  <c r="M92" i="28"/>
  <c r="W92" i="28" s="1"/>
  <c r="M91" i="28"/>
  <c r="W91" i="28" s="1"/>
  <c r="W89" i="28"/>
  <c r="W87" i="28"/>
  <c r="M86" i="28"/>
  <c r="W86" i="28" s="1"/>
  <c r="M85" i="28"/>
  <c r="W85" i="28" s="1"/>
  <c r="M84" i="28"/>
  <c r="W84" i="28" s="1"/>
  <c r="M83" i="28"/>
  <c r="W83" i="28" s="1"/>
  <c r="M82" i="28"/>
  <c r="W82" i="28" s="1"/>
  <c r="M81" i="28"/>
  <c r="W81" i="28" s="1"/>
  <c r="M79" i="28"/>
  <c r="W79" i="28" s="1"/>
  <c r="M78" i="28"/>
  <c r="W78" i="28" s="1"/>
  <c r="M77" i="28"/>
  <c r="W77" i="28" s="1"/>
  <c r="M76" i="28"/>
  <c r="W76" i="28" s="1"/>
  <c r="M75" i="28"/>
  <c r="W75" i="28" s="1"/>
  <c r="M74" i="28"/>
  <c r="M73" i="28"/>
  <c r="W73" i="28" s="1"/>
  <c r="M71" i="28"/>
  <c r="W71" i="28" s="1"/>
  <c r="M70" i="28"/>
  <c r="W70" i="28" s="1"/>
  <c r="M69" i="28"/>
  <c r="W69" i="28" s="1"/>
  <c r="M68" i="28"/>
  <c r="W68" i="28" s="1"/>
  <c r="M67" i="28"/>
  <c r="W67" i="28" s="1"/>
  <c r="M66" i="28"/>
  <c r="W66" i="28" s="1"/>
  <c r="M65" i="28"/>
  <c r="W65" i="28" s="1"/>
  <c r="W63" i="28"/>
  <c r="W62" i="28"/>
  <c r="M59" i="28"/>
  <c r="W59" i="28" s="1"/>
  <c r="M58" i="28"/>
  <c r="W58" i="28" s="1"/>
  <c r="M55" i="28"/>
  <c r="W55" i="28" s="1"/>
  <c r="M54" i="28"/>
  <c r="W54" i="28" s="1"/>
  <c r="M53" i="28"/>
  <c r="W53" i="28" s="1"/>
  <c r="M52" i="28"/>
  <c r="W52" i="28" s="1"/>
  <c r="M51" i="28"/>
  <c r="W51" i="28" s="1"/>
  <c r="M50" i="28"/>
  <c r="W50" i="28" s="1"/>
  <c r="M49" i="28"/>
  <c r="W49" i="28" s="1"/>
  <c r="M48" i="28"/>
  <c r="W48" i="28" s="1"/>
  <c r="M46" i="28"/>
  <c r="W46" i="28" s="1"/>
  <c r="M45" i="28"/>
  <c r="W45" i="28" s="1"/>
  <c r="M44" i="28"/>
  <c r="W44" i="28" s="1"/>
  <c r="M43" i="28"/>
  <c r="W43" i="28" s="1"/>
  <c r="M42" i="28"/>
  <c r="M41" i="28"/>
  <c r="W41" i="28" s="1"/>
  <c r="M40" i="28"/>
  <c r="W40" i="28" s="1"/>
  <c r="M39" i="28"/>
  <c r="M37" i="28"/>
  <c r="M36" i="28"/>
  <c r="M35" i="28"/>
  <c r="M34" i="28"/>
  <c r="M33" i="28"/>
  <c r="M32" i="28"/>
  <c r="M31" i="28"/>
  <c r="M29" i="28"/>
  <c r="M28" i="28"/>
  <c r="W28" i="28" s="1"/>
  <c r="M27" i="28"/>
  <c r="M26" i="28"/>
  <c r="M25" i="28"/>
  <c r="M24" i="28"/>
  <c r="M23" i="28"/>
  <c r="W23" i="28" s="1"/>
  <c r="M16" i="28"/>
  <c r="M15" i="28"/>
  <c r="W15" i="28" s="1"/>
  <c r="M13" i="28"/>
  <c r="M12" i="28"/>
  <c r="X6" i="28"/>
  <c r="X4" i="28"/>
  <c r="W136" i="28" l="1"/>
  <c r="X136" i="28"/>
  <c r="P146" i="28"/>
  <c r="S102" i="29"/>
  <c r="S104" i="29" s="1"/>
  <c r="Q121" i="3"/>
  <c r="Q120" i="3"/>
  <c r="Q119" i="3"/>
  <c r="Q118" i="3"/>
  <c r="Q117" i="3"/>
  <c r="Q115" i="3"/>
  <c r="Q114" i="3"/>
  <c r="Q113" i="3"/>
  <c r="Q112" i="3"/>
  <c r="Q111" i="3"/>
  <c r="Q110" i="3"/>
  <c r="Q108" i="3"/>
  <c r="Q107" i="3"/>
  <c r="Q105" i="3"/>
  <c r="Q104" i="3"/>
  <c r="Q103" i="3"/>
  <c r="Q102" i="3"/>
  <c r="Q101" i="3"/>
  <c r="Q100" i="3"/>
  <c r="Q99" i="3"/>
  <c r="Q98" i="3"/>
  <c r="Q97" i="3"/>
  <c r="Q95" i="3"/>
  <c r="Q94" i="3"/>
  <c r="Q92" i="3"/>
  <c r="Q91" i="3"/>
  <c r="Q90" i="3"/>
  <c r="Q89" i="3"/>
  <c r="Q88" i="3"/>
  <c r="Q87" i="3"/>
  <c r="Q85" i="3"/>
  <c r="Q84" i="3"/>
  <c r="Q82" i="3"/>
  <c r="Q81" i="3"/>
  <c r="Q80" i="3"/>
  <c r="Q79" i="3"/>
  <c r="Q78" i="3"/>
  <c r="Q77" i="3"/>
  <c r="Q75" i="3"/>
  <c r="Q74" i="3"/>
  <c r="Q73" i="3"/>
  <c r="Q72" i="3"/>
  <c r="Q71" i="3"/>
  <c r="Q70" i="3"/>
  <c r="Q69" i="3"/>
  <c r="Q67" i="3"/>
  <c r="Q66" i="3"/>
  <c r="Q65" i="3"/>
  <c r="Q64" i="3"/>
  <c r="Q63" i="3"/>
  <c r="Q62" i="3"/>
  <c r="Q61" i="3"/>
  <c r="Q59" i="3"/>
  <c r="Q58" i="3"/>
  <c r="Q56" i="3"/>
  <c r="Q55" i="3"/>
  <c r="Q53" i="3"/>
  <c r="Q52" i="3"/>
  <c r="Q51" i="3"/>
  <c r="Q50" i="3"/>
  <c r="Q49" i="3"/>
  <c r="Q48" i="3"/>
  <c r="Q47" i="3"/>
  <c r="Q46" i="3"/>
  <c r="Q44" i="3"/>
  <c r="Q43" i="3"/>
  <c r="Q42" i="3"/>
  <c r="Q41" i="3"/>
  <c r="Q40" i="3"/>
  <c r="Q39" i="3"/>
  <c r="Q38" i="3"/>
  <c r="Q37" i="3"/>
  <c r="Q35" i="3"/>
  <c r="Q34" i="3"/>
  <c r="Q33" i="3"/>
  <c r="Q32" i="3"/>
  <c r="Q31" i="3"/>
  <c r="Q30" i="3"/>
  <c r="Q29" i="3"/>
  <c r="Q28" i="3"/>
  <c r="Q27" i="3"/>
  <c r="Q26" i="3"/>
  <c r="Q25" i="3"/>
  <c r="Q24" i="3"/>
  <c r="Q23" i="3"/>
  <c r="Q22" i="3"/>
  <c r="Q20" i="3"/>
  <c r="Q19" i="3"/>
  <c r="Q17" i="3"/>
  <c r="Q16" i="3"/>
  <c r="Q14" i="3"/>
  <c r="Q13" i="3"/>
  <c r="Q126" i="3" l="1"/>
  <c r="R145" i="3"/>
  <c r="P145" i="3"/>
  <c r="R141" i="3"/>
  <c r="P141" i="3"/>
  <c r="R139" i="3"/>
  <c r="P139" i="3"/>
  <c r="P126" i="3"/>
  <c r="P10" i="3" s="1"/>
  <c r="P7" i="3"/>
  <c r="P6" i="3" s="1"/>
  <c r="P143" i="3" l="1"/>
  <c r="P147" i="3" s="1"/>
  <c r="R130" i="3"/>
  <c r="R143" i="3"/>
  <c r="R147" i="3" s="1"/>
  <c r="P130" i="3"/>
  <c r="P5" i="3"/>
  <c r="P4" i="3" s="1"/>
  <c r="E143" i="19" l="1"/>
  <c r="E67" i="19"/>
  <c r="E66" i="19"/>
  <c r="E65" i="19"/>
  <c r="E64" i="19"/>
  <c r="E62" i="19"/>
  <c r="C62" i="19"/>
  <c r="E38" i="19"/>
  <c r="E37" i="19"/>
  <c r="E36" i="19"/>
  <c r="E35" i="19"/>
  <c r="E33" i="19"/>
  <c r="C33" i="19"/>
  <c r="E22" i="19"/>
  <c r="E21" i="19"/>
  <c r="E8" i="19"/>
  <c r="E138" i="19"/>
  <c r="E133" i="19"/>
  <c r="E126" i="19"/>
  <c r="E119" i="19"/>
  <c r="E110" i="19"/>
  <c r="E101" i="19"/>
  <c r="E90" i="19"/>
  <c r="E80" i="19"/>
  <c r="E70" i="19"/>
  <c r="E54" i="19"/>
  <c r="E47" i="19"/>
  <c r="E41" i="19"/>
  <c r="E25" i="19"/>
  <c r="E18" i="19"/>
  <c r="C143" i="19"/>
  <c r="C138" i="19"/>
  <c r="C133" i="19"/>
  <c r="C126" i="19"/>
  <c r="C119" i="19"/>
  <c r="C110" i="19"/>
  <c r="C101" i="19"/>
  <c r="C90" i="19"/>
  <c r="C80" i="19"/>
  <c r="C70" i="19"/>
  <c r="C54" i="19"/>
  <c r="C47" i="19"/>
  <c r="C41" i="19"/>
  <c r="C25" i="19"/>
  <c r="C18" i="19"/>
  <c r="C11" i="19"/>
  <c r="D16" i="27" l="1"/>
  <c r="D31" i="27"/>
  <c r="H6" i="19"/>
  <c r="E68" i="19"/>
  <c r="H64" i="19"/>
  <c r="H36" i="19"/>
  <c r="K64" i="19"/>
  <c r="K67" i="19"/>
  <c r="K65" i="19"/>
  <c r="K66" i="19"/>
  <c r="H66" i="19"/>
  <c r="H65" i="19"/>
  <c r="H67" i="19"/>
  <c r="H38" i="19"/>
  <c r="K36" i="19"/>
  <c r="K35" i="19"/>
  <c r="K37" i="19"/>
  <c r="E39" i="19"/>
  <c r="H37" i="19"/>
  <c r="K38" i="19"/>
  <c r="H35" i="19"/>
  <c r="M13" i="3"/>
  <c r="M14" i="3"/>
  <c r="W94" i="3"/>
  <c r="W104" i="3"/>
  <c r="W84" i="3"/>
  <c r="W14" i="3"/>
  <c r="K68" i="19" l="1"/>
  <c r="H68" i="19"/>
  <c r="H39" i="19"/>
  <c r="K39" i="19"/>
  <c r="S145" i="3"/>
  <c r="S141" i="3"/>
  <c r="S139" i="3"/>
  <c r="R103" i="18"/>
  <c r="W9" i="18"/>
  <c r="V9" i="18"/>
  <c r="I9" i="18"/>
  <c r="W8" i="18"/>
  <c r="V8" i="18"/>
  <c r="I8" i="18"/>
  <c r="W7" i="18"/>
  <c r="V7" i="18"/>
  <c r="I7" i="18"/>
  <c r="X8" i="18" l="1"/>
  <c r="X9" i="18"/>
  <c r="X7" i="18"/>
  <c r="S103" i="18"/>
  <c r="P103" i="18"/>
  <c r="T103" i="18"/>
  <c r="O103" i="18"/>
  <c r="L103" i="18"/>
  <c r="Q103" i="18"/>
  <c r="U103" i="18"/>
  <c r="W13" i="3"/>
  <c r="U141" i="3"/>
  <c r="U139" i="3"/>
  <c r="U145" i="3"/>
  <c r="X56" i="18"/>
  <c r="S126" i="18"/>
  <c r="O126" i="18"/>
  <c r="K126" i="18"/>
  <c r="N124" i="18"/>
  <c r="O124" i="18"/>
  <c r="J125" i="18"/>
  <c r="K125" i="18"/>
  <c r="L125" i="18"/>
  <c r="P125" i="18"/>
  <c r="R125" i="18"/>
  <c r="S125" i="18"/>
  <c r="S123" i="18" s="1"/>
  <c r="T125" i="18"/>
  <c r="T123" i="18" s="1"/>
  <c r="M126" i="18"/>
  <c r="N126" i="18"/>
  <c r="P126" i="18"/>
  <c r="R126" i="18"/>
  <c r="T126" i="18"/>
  <c r="U126" i="18"/>
  <c r="L126" i="18"/>
  <c r="Q126" i="18"/>
  <c r="X10" i="18" l="1"/>
  <c r="U125" i="18"/>
  <c r="U123" i="18" s="1"/>
  <c r="Q125" i="18"/>
  <c r="V87" i="18"/>
  <c r="V109" i="18"/>
  <c r="V108" i="18"/>
  <c r="U143" i="3"/>
  <c r="U147" i="3" s="1"/>
  <c r="M125" i="18"/>
  <c r="S100" i="18"/>
  <c r="S102" i="18" s="1"/>
  <c r="K100" i="18"/>
  <c r="R100" i="18"/>
  <c r="R102" i="18" s="1"/>
  <c r="U100" i="18"/>
  <c r="U102" i="18" s="1"/>
  <c r="Q100" i="18"/>
  <c r="Q102" i="18" s="1"/>
  <c r="T100" i="18"/>
  <c r="T102" i="18" s="1"/>
  <c r="P100" i="18"/>
  <c r="P102" i="18" s="1"/>
  <c r="L100" i="18"/>
  <c r="L102" i="18" s="1"/>
  <c r="M124" i="18"/>
  <c r="V110" i="18" l="1"/>
  <c r="J126" i="18"/>
  <c r="V126" i="18" s="1"/>
  <c r="J124" i="18"/>
  <c r="N125" i="18"/>
  <c r="N123" i="18" s="1"/>
  <c r="Q124" i="18"/>
  <c r="Q123" i="18" s="1"/>
  <c r="R124" i="18"/>
  <c r="R123" i="18" s="1"/>
  <c r="M123" i="18"/>
  <c r="O125" i="18"/>
  <c r="O123" i="18" s="1"/>
  <c r="U130" i="3"/>
  <c r="N103" i="18"/>
  <c r="M103" i="18"/>
  <c r="N100" i="18"/>
  <c r="N102" i="18" s="1"/>
  <c r="M100" i="18"/>
  <c r="M102" i="18" s="1"/>
  <c r="O100" i="18"/>
  <c r="O102" i="18" s="1"/>
  <c r="J119" i="18" l="1"/>
  <c r="L124" i="18"/>
  <c r="L123" i="18" s="1"/>
  <c r="K124" i="18"/>
  <c r="K123" i="18" s="1"/>
  <c r="J123" i="18"/>
  <c r="V107" i="18"/>
  <c r="P124" i="18"/>
  <c r="P123" i="18" s="1"/>
  <c r="V125" i="18"/>
  <c r="M121" i="3"/>
  <c r="M120" i="3"/>
  <c r="M112" i="3"/>
  <c r="M111" i="3"/>
  <c r="M110" i="3"/>
  <c r="M115" i="3"/>
  <c r="M114" i="3"/>
  <c r="M113" i="3"/>
  <c r="M89" i="3"/>
  <c r="M88" i="3"/>
  <c r="M87" i="3"/>
  <c r="M92" i="3"/>
  <c r="M91" i="3"/>
  <c r="M90" i="3"/>
  <c r="M95" i="3"/>
  <c r="M93" i="3"/>
  <c r="M79" i="3"/>
  <c r="M78" i="3"/>
  <c r="M77" i="3"/>
  <c r="M82" i="3"/>
  <c r="M81" i="3"/>
  <c r="M80" i="3"/>
  <c r="M85" i="3"/>
  <c r="M83" i="3"/>
  <c r="M99" i="3"/>
  <c r="M98" i="3"/>
  <c r="M97" i="3"/>
  <c r="M102" i="3"/>
  <c r="M101" i="3"/>
  <c r="M100" i="3"/>
  <c r="M103" i="3"/>
  <c r="M53" i="3"/>
  <c r="M52" i="3"/>
  <c r="M48" i="3"/>
  <c r="M47" i="3"/>
  <c r="M46" i="3"/>
  <c r="M51" i="3"/>
  <c r="M50" i="3"/>
  <c r="M49" i="3"/>
  <c r="M44" i="3"/>
  <c r="M43" i="3"/>
  <c r="M39" i="3"/>
  <c r="M38" i="3"/>
  <c r="M37" i="3"/>
  <c r="M42" i="3"/>
  <c r="M41" i="3"/>
  <c r="M40" i="3"/>
  <c r="M28" i="3"/>
  <c r="M24" i="3"/>
  <c r="M23" i="3"/>
  <c r="M22" i="3"/>
  <c r="M27" i="3"/>
  <c r="M26" i="3"/>
  <c r="M25" i="3"/>
  <c r="M35" i="3"/>
  <c r="M31" i="3"/>
  <c r="M30" i="3"/>
  <c r="M29" i="3"/>
  <c r="M34" i="3"/>
  <c r="M33" i="3"/>
  <c r="M32" i="3"/>
  <c r="M17" i="3"/>
  <c r="M16" i="3"/>
  <c r="M75" i="3"/>
  <c r="M71" i="3"/>
  <c r="M70" i="3"/>
  <c r="M69" i="3"/>
  <c r="M74" i="3"/>
  <c r="M73" i="3"/>
  <c r="M72" i="3"/>
  <c r="M67" i="3"/>
  <c r="M63" i="3"/>
  <c r="M62" i="3"/>
  <c r="M61" i="3"/>
  <c r="M66" i="3"/>
  <c r="M65" i="3"/>
  <c r="M64" i="3"/>
  <c r="M55" i="3"/>
  <c r="M56" i="3"/>
  <c r="M122" i="3"/>
  <c r="V124" i="18" l="1"/>
  <c r="V123" i="18"/>
  <c r="V127" i="18" s="1"/>
  <c r="J127" i="18"/>
  <c r="I3" i="18"/>
  <c r="I4" i="18"/>
  <c r="I5" i="18"/>
  <c r="I11" i="18"/>
  <c r="I12" i="18"/>
  <c r="I14" i="18"/>
  <c r="I15" i="18"/>
  <c r="I17" i="18"/>
  <c r="I18" i="18"/>
  <c r="I19" i="18"/>
  <c r="I20" i="18"/>
  <c r="I22" i="18"/>
  <c r="I23" i="18"/>
  <c r="I24" i="18"/>
  <c r="I25" i="18"/>
  <c r="I27" i="18"/>
  <c r="I29" i="18"/>
  <c r="I31" i="18"/>
  <c r="I32" i="18"/>
  <c r="I33" i="18"/>
  <c r="I34" i="18"/>
  <c r="I36" i="18"/>
  <c r="I37" i="18"/>
  <c r="I38" i="18"/>
  <c r="I39" i="18"/>
  <c r="I41" i="18"/>
  <c r="I42" i="18"/>
  <c r="I43" i="18"/>
  <c r="I44" i="18"/>
  <c r="I45" i="18"/>
  <c r="I46" i="18"/>
  <c r="I48" i="18"/>
  <c r="I49" i="18"/>
  <c r="I50" i="18"/>
  <c r="I51" i="18"/>
  <c r="I52" i="18"/>
  <c r="I53" i="18"/>
  <c r="I55" i="18"/>
  <c r="I56" i="18"/>
  <c r="I57" i="18"/>
  <c r="I58" i="18"/>
  <c r="I59" i="18"/>
  <c r="I60" i="18"/>
  <c r="I62" i="18"/>
  <c r="I63" i="18"/>
  <c r="I64" i="18"/>
  <c r="I65" i="18"/>
  <c r="I66" i="18"/>
  <c r="I68" i="18"/>
  <c r="I69" i="18"/>
  <c r="I70" i="18"/>
  <c r="I71" i="18"/>
  <c r="I72" i="18"/>
  <c r="I74" i="18"/>
  <c r="I75" i="18"/>
  <c r="I76" i="18"/>
  <c r="I78" i="18"/>
  <c r="I79" i="18"/>
  <c r="I80" i="18"/>
  <c r="I82" i="18"/>
  <c r="I28" i="18" l="1"/>
  <c r="C7" i="27"/>
  <c r="I81" i="18"/>
  <c r="C6" i="27"/>
  <c r="C5" i="27"/>
  <c r="W131" i="3"/>
  <c r="I13" i="18"/>
  <c r="I47" i="18"/>
  <c r="I73" i="18"/>
  <c r="I21" i="18"/>
  <c r="I77" i="18"/>
  <c r="I67" i="18"/>
  <c r="I61" i="18"/>
  <c r="I54" i="18"/>
  <c r="I40" i="18"/>
  <c r="I30" i="18"/>
  <c r="I35" i="18"/>
  <c r="I16" i="18"/>
  <c r="I10" i="18"/>
  <c r="I2" i="18"/>
  <c r="I89" i="18" l="1"/>
  <c r="I91" i="18" s="1"/>
  <c r="K10" i="18"/>
  <c r="K84" i="18"/>
  <c r="J84" i="18" l="1"/>
  <c r="V84" i="18" s="1"/>
  <c r="J98" i="18"/>
  <c r="K103" i="18"/>
  <c r="K102" i="18"/>
  <c r="W8" i="3"/>
  <c r="W145" i="3" s="1"/>
  <c r="V145" i="3"/>
  <c r="J96" i="18" l="1"/>
  <c r="V98" i="18"/>
  <c r="W111" i="3"/>
  <c r="W91" i="3"/>
  <c r="W90" i="3"/>
  <c r="W93" i="3"/>
  <c r="W37" i="3"/>
  <c r="W42" i="3"/>
  <c r="W40" i="3"/>
  <c r="W28" i="3"/>
  <c r="W24" i="3"/>
  <c r="W23" i="3"/>
  <c r="W22" i="3"/>
  <c r="W26" i="3"/>
  <c r="W25" i="3"/>
  <c r="W35" i="3"/>
  <c r="W31" i="3"/>
  <c r="W30" i="3"/>
  <c r="W29" i="3"/>
  <c r="W34" i="3"/>
  <c r="W33" i="3"/>
  <c r="W32" i="3"/>
  <c r="W107" i="3"/>
  <c r="W108" i="3"/>
  <c r="W70" i="3"/>
  <c r="W69" i="3"/>
  <c r="W74" i="3"/>
  <c r="W73" i="3"/>
  <c r="W72" i="3"/>
  <c r="J100" i="18" l="1"/>
  <c r="J102" i="18" s="1"/>
  <c r="J103" i="18"/>
  <c r="W17" i="3"/>
  <c r="V99" i="18"/>
  <c r="G9" i="31" s="1"/>
  <c r="G11" i="31" s="1"/>
  <c r="V97" i="18"/>
  <c r="V96" i="18" s="1"/>
  <c r="D7" i="27"/>
  <c r="B29" i="27"/>
  <c r="B14" i="27"/>
  <c r="D13" i="27"/>
  <c r="D12" i="27"/>
  <c r="W14" i="18"/>
  <c r="V14" i="18"/>
  <c r="W15" i="18"/>
  <c r="V15" i="18"/>
  <c r="C13" i="27"/>
  <c r="W16" i="18" l="1"/>
  <c r="V117" i="18"/>
  <c r="B83" i="27"/>
  <c r="D11" i="27"/>
  <c r="V100" i="18" l="1"/>
  <c r="V115" i="18"/>
  <c r="V111" i="18"/>
  <c r="V116" i="18"/>
  <c r="V118" i="18"/>
  <c r="C12" i="27"/>
  <c r="C11" i="27" s="1"/>
  <c r="S131" i="3" l="1"/>
  <c r="U131" i="3"/>
  <c r="U132" i="3" s="1"/>
  <c r="V119" i="18"/>
  <c r="W120" i="18" s="1"/>
  <c r="C82" i="27"/>
  <c r="C81" i="27" s="1"/>
  <c r="W82" i="18"/>
  <c r="V82" i="18"/>
  <c r="W5" i="18"/>
  <c r="V5" i="18"/>
  <c r="V131" i="3" l="1"/>
  <c r="W83" i="18"/>
  <c r="V83" i="18"/>
  <c r="E30" i="19"/>
  <c r="H8" i="19"/>
  <c r="X83" i="18" l="1"/>
  <c r="D24" i="27"/>
  <c r="D19" i="27"/>
  <c r="K8" i="19"/>
  <c r="D9" i="19"/>
  <c r="C9" i="19"/>
  <c r="D10" i="19" l="1"/>
  <c r="E50" i="19" l="1"/>
  <c r="D28" i="27" l="1"/>
  <c r="D27" i="27" s="1"/>
  <c r="E23" i="19"/>
  <c r="E51" i="19"/>
  <c r="W4" i="18"/>
  <c r="V4" i="18"/>
  <c r="W6" i="18" l="1"/>
  <c r="X4" i="18"/>
  <c r="W27" i="3"/>
  <c r="K21" i="19"/>
  <c r="H21" i="19"/>
  <c r="K22" i="19"/>
  <c r="H22" i="19"/>
  <c r="K50" i="19"/>
  <c r="K51" i="19" s="1"/>
  <c r="H50" i="19"/>
  <c r="H51" i="19" l="1"/>
  <c r="W95" i="3"/>
  <c r="H23" i="19"/>
  <c r="K23" i="19"/>
  <c r="B100" i="27"/>
  <c r="B102" i="27" s="1"/>
  <c r="C37" i="27" l="1"/>
  <c r="C38" i="27"/>
  <c r="C39" i="27"/>
  <c r="C36" i="27"/>
  <c r="C32" i="27"/>
  <c r="C33" i="27"/>
  <c r="C34" i="27"/>
  <c r="C31" i="27"/>
  <c r="C22" i="27"/>
  <c r="C23" i="27"/>
  <c r="C24" i="27"/>
  <c r="C21" i="27"/>
  <c r="C17" i="27"/>
  <c r="C18" i="27"/>
  <c r="C19" i="27"/>
  <c r="C16" i="27"/>
  <c r="C15" i="27" l="1"/>
  <c r="C20" i="27"/>
  <c r="C35" i="27"/>
  <c r="C30" i="27"/>
  <c r="I4" i="25"/>
  <c r="C29" i="27" l="1"/>
  <c r="C14" i="27"/>
  <c r="I26" i="25"/>
  <c r="I12" i="25"/>
  <c r="C42" i="27" l="1"/>
  <c r="C43" i="27"/>
  <c r="C44" i="27"/>
  <c r="C45" i="27"/>
  <c r="C46" i="27"/>
  <c r="C41" i="27"/>
  <c r="C40" i="27" l="1"/>
  <c r="I36" i="25"/>
  <c r="AG88" i="25"/>
  <c r="AH88" i="25" s="1"/>
  <c r="H99" i="25" s="1"/>
  <c r="H101" i="25" s="1"/>
  <c r="Y83" i="25"/>
  <c r="AA83" i="25" s="1"/>
  <c r="AE22" i="25"/>
  <c r="AD22" i="25"/>
  <c r="J11" i="24"/>
  <c r="B11" i="24"/>
  <c r="C11" i="24"/>
  <c r="C13" i="24" s="1"/>
  <c r="C14" i="24" s="1"/>
  <c r="D11" i="24"/>
  <c r="P9" i="24"/>
  <c r="Q9" i="24" s="1"/>
  <c r="N9" i="24"/>
  <c r="E39" i="24"/>
  <c r="D39" i="24"/>
  <c r="C39" i="24"/>
  <c r="B26" i="24"/>
  <c r="D24" i="24"/>
  <c r="B97" i="25"/>
  <c r="C94" i="25"/>
  <c r="D94" i="25" s="1"/>
  <c r="C93" i="25"/>
  <c r="D93" i="25" s="1"/>
  <c r="C92" i="25"/>
  <c r="D92" i="25" s="1"/>
  <c r="C91" i="25"/>
  <c r="AE10" i="25"/>
  <c r="C23" i="24"/>
  <c r="D23" i="24" s="1"/>
  <c r="C22" i="24"/>
  <c r="D22" i="24" s="1"/>
  <c r="C21" i="24"/>
  <c r="D21" i="24" s="1"/>
  <c r="C20" i="24"/>
  <c r="D20" i="24" s="1"/>
  <c r="H83" i="25"/>
  <c r="H86" i="25" s="1"/>
  <c r="AE24" i="25" l="1"/>
  <c r="AE26" i="25" s="1"/>
  <c r="D26" i="24"/>
  <c r="D14" i="24"/>
  <c r="E14" i="24" s="1"/>
  <c r="AF10" i="25"/>
  <c r="C26" i="24"/>
  <c r="AI88" i="25"/>
  <c r="D91" i="25"/>
  <c r="D97" i="25" s="1"/>
  <c r="C97" i="25"/>
  <c r="AG10" i="25" l="1"/>
  <c r="U113" i="25"/>
  <c r="T113" i="25"/>
  <c r="S113" i="25"/>
  <c r="R113" i="25"/>
  <c r="Q113" i="25"/>
  <c r="P113" i="25"/>
  <c r="O113" i="25"/>
  <c r="N113" i="25"/>
  <c r="M113" i="25"/>
  <c r="L113" i="25"/>
  <c r="K113" i="25"/>
  <c r="J113" i="25"/>
  <c r="U112" i="25"/>
  <c r="T112" i="25"/>
  <c r="S112" i="25"/>
  <c r="R112" i="25"/>
  <c r="Q112" i="25"/>
  <c r="P112" i="25"/>
  <c r="O112" i="25"/>
  <c r="N112" i="25"/>
  <c r="M112" i="25"/>
  <c r="L112" i="25"/>
  <c r="K112" i="25"/>
  <c r="J112" i="25"/>
  <c r="U111" i="25"/>
  <c r="T111" i="25"/>
  <c r="S111" i="25"/>
  <c r="R111" i="25"/>
  <c r="Q111" i="25"/>
  <c r="P111" i="25"/>
  <c r="O111" i="25"/>
  <c r="N111" i="25"/>
  <c r="M111" i="25"/>
  <c r="L111" i="25"/>
  <c r="K111" i="25"/>
  <c r="J111" i="25"/>
  <c r="V110" i="25"/>
  <c r="X110" i="25" s="1"/>
  <c r="V109" i="25"/>
  <c r="X109" i="25" s="1"/>
  <c r="U108" i="25"/>
  <c r="T108" i="25"/>
  <c r="S108" i="25"/>
  <c r="R108" i="25"/>
  <c r="Q108" i="25"/>
  <c r="P108" i="25"/>
  <c r="O108" i="25"/>
  <c r="N108" i="25"/>
  <c r="M108" i="25"/>
  <c r="L108" i="25"/>
  <c r="K108" i="25"/>
  <c r="J108" i="25"/>
  <c r="W76" i="25"/>
  <c r="V76" i="25"/>
  <c r="I76" i="25"/>
  <c r="W75" i="25"/>
  <c r="V75" i="25"/>
  <c r="I75" i="25"/>
  <c r="W74" i="25"/>
  <c r="V74" i="25"/>
  <c r="I74" i="25"/>
  <c r="W72" i="25"/>
  <c r="V72" i="25"/>
  <c r="I72" i="25"/>
  <c r="W71" i="25"/>
  <c r="V71" i="25"/>
  <c r="I71" i="25"/>
  <c r="W70" i="25"/>
  <c r="V70" i="25"/>
  <c r="I70" i="25"/>
  <c r="W68" i="25"/>
  <c r="V68" i="25"/>
  <c r="I68" i="25"/>
  <c r="W67" i="25"/>
  <c r="V67" i="25"/>
  <c r="I67" i="25"/>
  <c r="W66" i="25"/>
  <c r="V66" i="25"/>
  <c r="I66" i="25"/>
  <c r="W65" i="25"/>
  <c r="V65" i="25"/>
  <c r="I65" i="25"/>
  <c r="W64" i="25"/>
  <c r="V64" i="25"/>
  <c r="I64" i="25"/>
  <c r="W62" i="25"/>
  <c r="V62" i="25"/>
  <c r="I62" i="25"/>
  <c r="W61" i="25"/>
  <c r="V61" i="25"/>
  <c r="I61" i="25"/>
  <c r="W60" i="25"/>
  <c r="V60" i="25"/>
  <c r="I60" i="25"/>
  <c r="W59" i="25"/>
  <c r="V59" i="25"/>
  <c r="I59" i="25"/>
  <c r="W58" i="25"/>
  <c r="V58" i="25"/>
  <c r="I58" i="25"/>
  <c r="W56" i="25"/>
  <c r="V56" i="25"/>
  <c r="I56" i="25"/>
  <c r="W55" i="25"/>
  <c r="V55" i="25"/>
  <c r="I55" i="25"/>
  <c r="W54" i="25"/>
  <c r="V54" i="25"/>
  <c r="I54" i="25"/>
  <c r="W53" i="25"/>
  <c r="V53" i="25"/>
  <c r="I53" i="25"/>
  <c r="W52" i="25"/>
  <c r="V52" i="25"/>
  <c r="I52" i="25"/>
  <c r="W51" i="25"/>
  <c r="V51" i="25"/>
  <c r="I51" i="25"/>
  <c r="W49" i="25"/>
  <c r="V49" i="25"/>
  <c r="I49" i="25"/>
  <c r="W48" i="25"/>
  <c r="V48" i="25"/>
  <c r="I48" i="25"/>
  <c r="W47" i="25"/>
  <c r="V47" i="25"/>
  <c r="I47" i="25"/>
  <c r="W46" i="25"/>
  <c r="V46" i="25"/>
  <c r="I46" i="25"/>
  <c r="W45" i="25"/>
  <c r="V45" i="25"/>
  <c r="I45" i="25"/>
  <c r="W44" i="25"/>
  <c r="V44" i="25"/>
  <c r="I44" i="25"/>
  <c r="W42" i="25"/>
  <c r="V42" i="25"/>
  <c r="W41" i="25"/>
  <c r="V41" i="25"/>
  <c r="W40" i="25"/>
  <c r="V40" i="25"/>
  <c r="W39" i="25"/>
  <c r="V39" i="25"/>
  <c r="W38" i="25"/>
  <c r="V38" i="25"/>
  <c r="W37" i="25"/>
  <c r="V37" i="25"/>
  <c r="W35" i="25"/>
  <c r="V35" i="25"/>
  <c r="I35" i="25"/>
  <c r="W34" i="25"/>
  <c r="V34" i="25"/>
  <c r="I34" i="25"/>
  <c r="W33" i="25"/>
  <c r="V33" i="25"/>
  <c r="I33" i="25"/>
  <c r="W32" i="25"/>
  <c r="V32" i="25"/>
  <c r="I32" i="25"/>
  <c r="W30" i="25"/>
  <c r="V30" i="25"/>
  <c r="I30" i="25"/>
  <c r="W29" i="25"/>
  <c r="V29" i="25"/>
  <c r="I29" i="25"/>
  <c r="W28" i="25"/>
  <c r="V28" i="25"/>
  <c r="I28" i="25"/>
  <c r="W27" i="25"/>
  <c r="V27" i="25"/>
  <c r="I27" i="25"/>
  <c r="W25" i="25"/>
  <c r="V25" i="25"/>
  <c r="I25" i="25"/>
  <c r="W23" i="25"/>
  <c r="V23" i="25"/>
  <c r="I23" i="25"/>
  <c r="W21" i="25"/>
  <c r="V21" i="25"/>
  <c r="I21" i="25"/>
  <c r="W20" i="25"/>
  <c r="V20" i="25"/>
  <c r="I20" i="25"/>
  <c r="W19" i="25"/>
  <c r="V19" i="25"/>
  <c r="I19" i="25"/>
  <c r="W18" i="25"/>
  <c r="V18" i="25"/>
  <c r="I18" i="25"/>
  <c r="W16" i="25"/>
  <c r="V16" i="25"/>
  <c r="I16" i="25"/>
  <c r="W15" i="25"/>
  <c r="V15" i="25"/>
  <c r="I15" i="25"/>
  <c r="W14" i="25"/>
  <c r="V14" i="25"/>
  <c r="I14" i="25"/>
  <c r="W13" i="25"/>
  <c r="V13" i="25"/>
  <c r="I13" i="25"/>
  <c r="W11" i="25"/>
  <c r="V11" i="25"/>
  <c r="I11" i="25"/>
  <c r="W10" i="25"/>
  <c r="V10" i="25"/>
  <c r="I10" i="25"/>
  <c r="W8" i="25"/>
  <c r="V8" i="25"/>
  <c r="I8" i="25"/>
  <c r="W7" i="25"/>
  <c r="V7" i="25"/>
  <c r="I7" i="25"/>
  <c r="L24" i="24"/>
  <c r="L23" i="24"/>
  <c r="L11" i="24"/>
  <c r="K11" i="24"/>
  <c r="G11" i="24"/>
  <c r="G13" i="24" s="1"/>
  <c r="P8" i="24"/>
  <c r="Q8" i="24" s="1"/>
  <c r="N8" i="24"/>
  <c r="P7" i="24"/>
  <c r="Q7" i="24" s="1"/>
  <c r="N7" i="24"/>
  <c r="P6" i="24"/>
  <c r="Q6" i="24" s="1"/>
  <c r="N6" i="24"/>
  <c r="P5" i="24"/>
  <c r="N5" i="24"/>
  <c r="X75" i="25" l="1"/>
  <c r="X10" i="25"/>
  <c r="X40" i="25"/>
  <c r="X47" i="25"/>
  <c r="X62" i="25"/>
  <c r="X72" i="25"/>
  <c r="V111" i="25"/>
  <c r="X111" i="25" s="1"/>
  <c r="V113" i="25"/>
  <c r="P11" i="24"/>
  <c r="V112" i="25"/>
  <c r="X19" i="25"/>
  <c r="X34" i="25"/>
  <c r="X52" i="25"/>
  <c r="X56" i="25"/>
  <c r="X76" i="25"/>
  <c r="X11" i="25"/>
  <c r="X37" i="25"/>
  <c r="X39" i="25"/>
  <c r="X54" i="25"/>
  <c r="X74" i="25"/>
  <c r="X23" i="25"/>
  <c r="X30" i="25"/>
  <c r="X35" i="25"/>
  <c r="X42" i="25"/>
  <c r="X7" i="25"/>
  <c r="X16" i="25"/>
  <c r="X21" i="25"/>
  <c r="X29" i="25"/>
  <c r="X33" i="25"/>
  <c r="X46" i="25"/>
  <c r="X49" i="25"/>
  <c r="X51" i="25"/>
  <c r="X55" i="25"/>
  <c r="X61" i="25"/>
  <c r="X66" i="25"/>
  <c r="X71" i="25"/>
  <c r="X32" i="25"/>
  <c r="X48" i="25"/>
  <c r="X53" i="25"/>
  <c r="X64" i="25"/>
  <c r="X68" i="25"/>
  <c r="X8" i="25"/>
  <c r="X15" i="25"/>
  <c r="X14" i="25"/>
  <c r="X13" i="25"/>
  <c r="X25" i="25"/>
  <c r="X18" i="25"/>
  <c r="X20" i="25"/>
  <c r="X28" i="25"/>
  <c r="X27" i="25"/>
  <c r="X41" i="25"/>
  <c r="X38" i="25"/>
  <c r="X45" i="25"/>
  <c r="X44" i="25"/>
  <c r="X59" i="25"/>
  <c r="X60" i="25"/>
  <c r="X58" i="25"/>
  <c r="X65" i="25"/>
  <c r="X67" i="25"/>
  <c r="X70" i="25"/>
  <c r="V108" i="25"/>
  <c r="Q5" i="24"/>
  <c r="Q11" i="24" s="1"/>
  <c r="Q13" i="24" s="1"/>
  <c r="V114" i="25" l="1"/>
  <c r="V119" i="25" s="1"/>
  <c r="X83" i="25"/>
  <c r="X108" i="25"/>
  <c r="I118" i="25" s="1"/>
  <c r="C78" i="27"/>
  <c r="C10" i="27"/>
  <c r="C9" i="27"/>
  <c r="W17" i="18"/>
  <c r="V17" i="18"/>
  <c r="C8" i="27" l="1"/>
  <c r="I9" i="25" l="1"/>
  <c r="C80" i="27"/>
  <c r="C75" i="27"/>
  <c r="C76" i="27"/>
  <c r="C74" i="27"/>
  <c r="C69" i="27"/>
  <c r="C70" i="27"/>
  <c r="C71" i="27"/>
  <c r="C72" i="27"/>
  <c r="C68" i="27"/>
  <c r="C63" i="27"/>
  <c r="C64" i="27"/>
  <c r="C65" i="27"/>
  <c r="C66" i="27"/>
  <c r="C62" i="27"/>
  <c r="C56" i="27"/>
  <c r="C57" i="27"/>
  <c r="C58" i="27"/>
  <c r="C59" i="27"/>
  <c r="C60" i="27"/>
  <c r="C55" i="27"/>
  <c r="C49" i="27"/>
  <c r="C50" i="27"/>
  <c r="C51" i="27"/>
  <c r="C52" i="27"/>
  <c r="C53" i="27"/>
  <c r="C48" i="27"/>
  <c r="C67" i="27" l="1"/>
  <c r="C47" i="27"/>
  <c r="I24" i="25"/>
  <c r="C28" i="27"/>
  <c r="C27" i="27" s="1"/>
  <c r="C61" i="27"/>
  <c r="I6" i="25"/>
  <c r="C4" i="27"/>
  <c r="C54" i="27"/>
  <c r="C73" i="27"/>
  <c r="I69" i="25"/>
  <c r="I57" i="25"/>
  <c r="I43" i="25"/>
  <c r="I63" i="25"/>
  <c r="I50" i="25"/>
  <c r="W11" i="3"/>
  <c r="C79" i="27" l="1"/>
  <c r="C77" i="27" s="1"/>
  <c r="I73" i="25"/>
  <c r="W29" i="18" l="1"/>
  <c r="W80" i="18"/>
  <c r="V80" i="18"/>
  <c r="W79" i="18"/>
  <c r="V79" i="18"/>
  <c r="W78" i="18"/>
  <c r="V78" i="18"/>
  <c r="W76" i="18"/>
  <c r="V76" i="18"/>
  <c r="W75" i="18"/>
  <c r="V75" i="18"/>
  <c r="W74" i="18"/>
  <c r="V74" i="18"/>
  <c r="W72" i="18"/>
  <c r="V72" i="18"/>
  <c r="W71" i="18"/>
  <c r="V71" i="18"/>
  <c r="W70" i="18"/>
  <c r="V70" i="18"/>
  <c r="W69" i="18"/>
  <c r="V69" i="18"/>
  <c r="W68" i="18"/>
  <c r="V68" i="18"/>
  <c r="W66" i="18"/>
  <c r="V66" i="18"/>
  <c r="W65" i="18"/>
  <c r="V65" i="18"/>
  <c r="W64" i="18"/>
  <c r="V64" i="18"/>
  <c r="W63" i="18"/>
  <c r="V63" i="18"/>
  <c r="W62" i="18"/>
  <c r="V62" i="18"/>
  <c r="W60" i="18"/>
  <c r="V60" i="18"/>
  <c r="W59" i="18"/>
  <c r="V59" i="18"/>
  <c r="W58" i="18"/>
  <c r="V58" i="18"/>
  <c r="W57" i="18"/>
  <c r="V57" i="18"/>
  <c r="W56" i="18"/>
  <c r="V56" i="18"/>
  <c r="W55" i="18"/>
  <c r="V55" i="18"/>
  <c r="W53" i="18"/>
  <c r="V53" i="18"/>
  <c r="W52" i="18"/>
  <c r="W51" i="18"/>
  <c r="V51" i="18"/>
  <c r="W50" i="18"/>
  <c r="W49" i="18"/>
  <c r="V49" i="18"/>
  <c r="W48" i="18"/>
  <c r="V48" i="18"/>
  <c r="W46" i="18"/>
  <c r="V46" i="18"/>
  <c r="W45" i="18"/>
  <c r="V45" i="18"/>
  <c r="W44" i="18"/>
  <c r="V44" i="18"/>
  <c r="W43" i="18"/>
  <c r="V43" i="18"/>
  <c r="W42" i="18"/>
  <c r="V42" i="18"/>
  <c r="W41" i="18"/>
  <c r="V41" i="18"/>
  <c r="W39" i="18"/>
  <c r="V39" i="18"/>
  <c r="W38" i="18"/>
  <c r="V38" i="18"/>
  <c r="W37" i="18"/>
  <c r="V37" i="18"/>
  <c r="W36" i="18"/>
  <c r="V36" i="18"/>
  <c r="W34" i="18"/>
  <c r="V34" i="18"/>
  <c r="W33" i="18"/>
  <c r="V33" i="18"/>
  <c r="W32" i="18"/>
  <c r="V32" i="18"/>
  <c r="W31" i="18"/>
  <c r="V31" i="18"/>
  <c r="V29" i="18"/>
  <c r="V27" i="18"/>
  <c r="W25" i="18"/>
  <c r="V25" i="18"/>
  <c r="W24" i="18"/>
  <c r="V24" i="18"/>
  <c r="W23" i="18"/>
  <c r="V23" i="18"/>
  <c r="W22" i="18"/>
  <c r="V22" i="18"/>
  <c r="V26" i="18" s="1"/>
  <c r="W20" i="18"/>
  <c r="V20" i="18"/>
  <c r="W19" i="18"/>
  <c r="V19" i="18"/>
  <c r="W18" i="18"/>
  <c r="V18" i="18"/>
  <c r="W12" i="18"/>
  <c r="V12" i="18"/>
  <c r="W11" i="18"/>
  <c r="V11" i="18"/>
  <c r="W30" i="18" l="1"/>
  <c r="V28" i="18"/>
  <c r="V30" i="18"/>
  <c r="V35" i="18"/>
  <c r="W40" i="18"/>
  <c r="V81" i="18"/>
  <c r="W81" i="18"/>
  <c r="W77" i="18"/>
  <c r="V77" i="18"/>
  <c r="W61" i="18"/>
  <c r="V61" i="18"/>
  <c r="W54" i="18"/>
  <c r="V40" i="18"/>
  <c r="V47" i="18"/>
  <c r="W47" i="18"/>
  <c r="W35" i="18"/>
  <c r="V73" i="18"/>
  <c r="W73" i="18"/>
  <c r="W67" i="18"/>
  <c r="V67" i="18"/>
  <c r="W26" i="18"/>
  <c r="W21" i="18"/>
  <c r="V21" i="18"/>
  <c r="V13" i="18"/>
  <c r="W13" i="18"/>
  <c r="W41" i="3"/>
  <c r="U107" i="28" l="1"/>
  <c r="V107" i="28" s="1"/>
  <c r="U97" i="28"/>
  <c r="V97" i="28" s="1"/>
  <c r="U87" i="28"/>
  <c r="V87" i="28" s="1"/>
  <c r="U79" i="28"/>
  <c r="V79" i="28" s="1"/>
  <c r="U54" i="28"/>
  <c r="V54" i="28" s="1"/>
  <c r="U45" i="28"/>
  <c r="V45" i="28" s="1"/>
  <c r="X35" i="18"/>
  <c r="X77" i="18"/>
  <c r="X47" i="18"/>
  <c r="X73" i="18"/>
  <c r="X26" i="18"/>
  <c r="X17" i="18"/>
  <c r="X40" i="18"/>
  <c r="X61" i="18"/>
  <c r="X81" i="18"/>
  <c r="X30" i="18"/>
  <c r="X67" i="18"/>
  <c r="P67" i="13"/>
  <c r="P66" i="13"/>
  <c r="P65" i="13"/>
  <c r="P64" i="13"/>
  <c r="P63" i="13"/>
  <c r="P62" i="13"/>
  <c r="P61" i="13"/>
  <c r="P60" i="13"/>
  <c r="P59" i="13"/>
  <c r="P58" i="13"/>
  <c r="P57" i="13"/>
  <c r="P56" i="13"/>
  <c r="U37" i="28" l="1"/>
  <c r="V37" i="28" s="1"/>
  <c r="W79" i="3"/>
  <c r="W121" i="3"/>
  <c r="W80" i="3"/>
  <c r="W102" i="3"/>
  <c r="W88" i="3"/>
  <c r="W103" i="3"/>
  <c r="W39" i="3"/>
  <c r="W112" i="3"/>
  <c r="W97" i="3"/>
  <c r="W87" i="3"/>
  <c r="W46" i="3"/>
  <c r="W82" i="3"/>
  <c r="W115" i="3"/>
  <c r="W120" i="3"/>
  <c r="W83" i="3"/>
  <c r="W85" i="3"/>
  <c r="W47" i="3"/>
  <c r="W89" i="3"/>
  <c r="W113" i="3"/>
  <c r="W105" i="3"/>
  <c r="W77" i="3"/>
  <c r="W100" i="3"/>
  <c r="W78" i="3"/>
  <c r="W110" i="3"/>
  <c r="W44" i="3" l="1"/>
  <c r="W118" i="3"/>
  <c r="W50" i="3"/>
  <c r="W52" i="3"/>
  <c r="W114" i="3"/>
  <c r="W53" i="3"/>
  <c r="W38" i="3"/>
  <c r="W7" i="3"/>
  <c r="W119" i="3" l="1"/>
  <c r="W43" i="3"/>
  <c r="W51" i="3"/>
  <c r="W98" i="3"/>
  <c r="W58" i="3"/>
  <c r="W81" i="3"/>
  <c r="W63" i="3"/>
  <c r="W122" i="3"/>
  <c r="W62" i="3"/>
  <c r="W56" i="3"/>
  <c r="W101" i="3"/>
  <c r="W48" i="3"/>
  <c r="W99" i="3"/>
  <c r="W117" i="3"/>
  <c r="W75" i="3"/>
  <c r="W65" i="3"/>
  <c r="W92" i="3"/>
  <c r="W67" i="3"/>
  <c r="W71" i="3"/>
  <c r="W49" i="3"/>
  <c r="W6" i="3"/>
  <c r="W55" i="3" l="1"/>
  <c r="W64" i="3"/>
  <c r="W66" i="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W16" i="3" l="1"/>
  <c r="W61" i="3"/>
  <c r="V141" i="3"/>
  <c r="W20" i="3"/>
  <c r="G23" i="6"/>
  <c r="G14" i="6"/>
  <c r="G9" i="6"/>
  <c r="W141" i="3" l="1"/>
  <c r="W59" i="3"/>
  <c r="H15" i="6"/>
  <c r="H10" i="6"/>
  <c r="H32" i="6"/>
  <c r="G10" i="6"/>
  <c r="G11" i="6"/>
  <c r="G12" i="6"/>
  <c r="G13" i="6"/>
  <c r="H29" i="6"/>
  <c r="H30" i="6"/>
  <c r="H31" i="6"/>
  <c r="G32" i="6"/>
  <c r="G30" i="6"/>
  <c r="G31" i="6"/>
  <c r="G29" i="6"/>
  <c r="I29" i="6"/>
  <c r="J29" i="6"/>
  <c r="K29" i="6"/>
  <c r="L29" i="6"/>
  <c r="M29" i="6"/>
  <c r="N29" i="6"/>
  <c r="O29" i="6"/>
  <c r="P29" i="6"/>
  <c r="Q29" i="6"/>
  <c r="R29" i="6"/>
  <c r="S29" i="6"/>
  <c r="I30" i="6"/>
  <c r="J30" i="6"/>
  <c r="K30" i="6"/>
  <c r="L30" i="6"/>
  <c r="M30" i="6"/>
  <c r="N30" i="6"/>
  <c r="O30" i="6"/>
  <c r="P30" i="6"/>
  <c r="Q30" i="6"/>
  <c r="R30" i="6"/>
  <c r="S30" i="6"/>
  <c r="I31" i="6"/>
  <c r="J31" i="6"/>
  <c r="K31" i="6"/>
  <c r="L31" i="6"/>
  <c r="M31" i="6"/>
  <c r="N31" i="6"/>
  <c r="O31" i="6"/>
  <c r="P31" i="6"/>
  <c r="Q31" i="6"/>
  <c r="R31" i="6"/>
  <c r="S31" i="6"/>
  <c r="I32" i="6"/>
  <c r="J32" i="6"/>
  <c r="K32" i="6"/>
  <c r="L32" i="6"/>
  <c r="M32" i="6"/>
  <c r="N32" i="6"/>
  <c r="O32" i="6"/>
  <c r="P32" i="6"/>
  <c r="Q32" i="6"/>
  <c r="R32" i="6"/>
  <c r="S32" i="6"/>
  <c r="G24" i="6"/>
  <c r="G25" i="6"/>
  <c r="G26" i="6"/>
  <c r="G27" i="6"/>
  <c r="I24" i="6"/>
  <c r="J24" i="6"/>
  <c r="K24" i="6"/>
  <c r="L24" i="6"/>
  <c r="M24" i="6"/>
  <c r="N24" i="6"/>
  <c r="O24" i="6"/>
  <c r="P24" i="6"/>
  <c r="Q24" i="6"/>
  <c r="R24" i="6"/>
  <c r="S24" i="6"/>
  <c r="I25" i="6"/>
  <c r="J25" i="6"/>
  <c r="K25" i="6"/>
  <c r="L25" i="6"/>
  <c r="M25" i="6"/>
  <c r="N25" i="6"/>
  <c r="O25" i="6"/>
  <c r="P25" i="6"/>
  <c r="Q25" i="6"/>
  <c r="R25" i="6"/>
  <c r="S25" i="6"/>
  <c r="I26" i="6"/>
  <c r="J26" i="6"/>
  <c r="K26" i="6"/>
  <c r="L26" i="6"/>
  <c r="M26" i="6"/>
  <c r="N26" i="6"/>
  <c r="O26" i="6"/>
  <c r="P26" i="6"/>
  <c r="Q26" i="6"/>
  <c r="R26" i="6"/>
  <c r="S26" i="6"/>
  <c r="I27" i="6"/>
  <c r="J27" i="6"/>
  <c r="K27" i="6"/>
  <c r="L27" i="6"/>
  <c r="M27" i="6"/>
  <c r="N27" i="6"/>
  <c r="O27" i="6"/>
  <c r="P27" i="6"/>
  <c r="Q27" i="6"/>
  <c r="R27" i="6"/>
  <c r="S27" i="6"/>
  <c r="H25" i="6"/>
  <c r="H26" i="6"/>
  <c r="H27" i="6"/>
  <c r="H24" i="6"/>
  <c r="H16" i="6"/>
  <c r="H17" i="6"/>
  <c r="H18" i="6"/>
  <c r="G17" i="6"/>
  <c r="G16" i="6"/>
  <c r="G15" i="6"/>
  <c r="I15" i="6"/>
  <c r="J15" i="6"/>
  <c r="K15" i="6"/>
  <c r="L15" i="6"/>
  <c r="M15" i="6"/>
  <c r="N15" i="6"/>
  <c r="O15" i="6"/>
  <c r="P15" i="6"/>
  <c r="Q15" i="6"/>
  <c r="R15" i="6"/>
  <c r="S15" i="6"/>
  <c r="I16" i="6"/>
  <c r="J16" i="6"/>
  <c r="K16" i="6"/>
  <c r="L16" i="6"/>
  <c r="M16" i="6"/>
  <c r="N16" i="6"/>
  <c r="O16" i="6"/>
  <c r="P16" i="6"/>
  <c r="Q16" i="6"/>
  <c r="R16" i="6"/>
  <c r="S16" i="6"/>
  <c r="I17" i="6"/>
  <c r="J17" i="6"/>
  <c r="K17" i="6"/>
  <c r="L17" i="6"/>
  <c r="M17" i="6"/>
  <c r="N17" i="6"/>
  <c r="O17" i="6"/>
  <c r="P17" i="6"/>
  <c r="Q17" i="6"/>
  <c r="R17" i="6"/>
  <c r="S17" i="6"/>
  <c r="I18" i="6"/>
  <c r="J18" i="6"/>
  <c r="K18" i="6"/>
  <c r="L18" i="6"/>
  <c r="M18" i="6"/>
  <c r="N18" i="6"/>
  <c r="O18" i="6"/>
  <c r="P18" i="6"/>
  <c r="Q18" i="6"/>
  <c r="R18" i="6"/>
  <c r="S18" i="6"/>
  <c r="I10" i="6"/>
  <c r="J10" i="6"/>
  <c r="K10" i="6"/>
  <c r="L10" i="6"/>
  <c r="M10" i="6"/>
  <c r="N10" i="6"/>
  <c r="O10" i="6"/>
  <c r="P10" i="6"/>
  <c r="Q10" i="6"/>
  <c r="R10" i="6"/>
  <c r="S10" i="6"/>
  <c r="I11" i="6"/>
  <c r="J11" i="6"/>
  <c r="K11" i="6"/>
  <c r="L11" i="6"/>
  <c r="M11" i="6"/>
  <c r="N11" i="6"/>
  <c r="O11" i="6"/>
  <c r="P11" i="6"/>
  <c r="Q11" i="6"/>
  <c r="R11" i="6"/>
  <c r="S11" i="6"/>
  <c r="I12" i="6"/>
  <c r="J12" i="6"/>
  <c r="K12" i="6"/>
  <c r="L12" i="6"/>
  <c r="M12" i="6"/>
  <c r="N12" i="6"/>
  <c r="O12" i="6"/>
  <c r="P12" i="6"/>
  <c r="Q12" i="6"/>
  <c r="R12" i="6"/>
  <c r="S12" i="6"/>
  <c r="I13" i="6"/>
  <c r="J13" i="6"/>
  <c r="K13" i="6"/>
  <c r="L13" i="6"/>
  <c r="M13" i="6"/>
  <c r="N13" i="6"/>
  <c r="O13" i="6"/>
  <c r="P13" i="6"/>
  <c r="Q13" i="6"/>
  <c r="R13" i="6"/>
  <c r="S13" i="6"/>
  <c r="H11" i="6"/>
  <c r="H12" i="6"/>
  <c r="H13" i="6"/>
  <c r="F30" i="6"/>
  <c r="F31" i="6"/>
  <c r="F32" i="6"/>
  <c r="E31" i="6"/>
  <c r="E32" i="6"/>
  <c r="E30" i="6"/>
  <c r="E29" i="6"/>
  <c r="F29" i="6" s="1"/>
  <c r="E15" i="6"/>
  <c r="F15" i="6" s="1"/>
  <c r="F16" i="6"/>
  <c r="F17" i="6"/>
  <c r="F18" i="6"/>
  <c r="E17" i="6"/>
  <c r="E18" i="6"/>
  <c r="E16" i="6"/>
  <c r="X79" i="3"/>
  <c r="X78" i="3"/>
  <c r="X64" i="3"/>
  <c r="X55" i="3"/>
  <c r="X66" i="3"/>
  <c r="X62" i="3"/>
  <c r="X61" i="3"/>
  <c r="X77" i="3"/>
  <c r="X82" i="3"/>
  <c r="X81" i="3"/>
  <c r="X80" i="3"/>
  <c r="X85" i="3"/>
  <c r="X83" i="3"/>
  <c r="E167" i="9"/>
  <c r="X99" i="3"/>
  <c r="X98" i="3"/>
  <c r="X97" i="3"/>
  <c r="X102" i="3"/>
  <c r="X101" i="3"/>
  <c r="X100" i="3"/>
  <c r="X105" i="3"/>
  <c r="X103" i="3"/>
  <c r="X69" i="3"/>
  <c r="X74" i="3"/>
  <c r="X73" i="3"/>
  <c r="X72" i="3"/>
  <c r="X67" i="3"/>
  <c r="X63" i="3"/>
  <c r="X16" i="3"/>
  <c r="X58" i="3"/>
  <c r="X59" i="3"/>
  <c r="X75" i="3"/>
  <c r="X71" i="3"/>
  <c r="X53" i="3"/>
  <c r="X52" i="3"/>
  <c r="X48" i="3"/>
  <c r="X47" i="3"/>
  <c r="X46" i="3"/>
  <c r="X51" i="3"/>
  <c r="X50" i="3"/>
  <c r="X49" i="3"/>
  <c r="X44" i="3"/>
  <c r="X43" i="3"/>
  <c r="X39" i="3"/>
  <c r="X38" i="3"/>
  <c r="X42" i="3"/>
  <c r="X41" i="3"/>
  <c r="X22" i="3"/>
  <c r="X27" i="3"/>
  <c r="X90" i="3"/>
  <c r="X95" i="3"/>
  <c r="X119" i="3"/>
  <c r="X118" i="3"/>
  <c r="X117" i="3"/>
  <c r="X122" i="3"/>
  <c r="X121" i="3"/>
  <c r="X120" i="3"/>
  <c r="X112" i="3"/>
  <c r="X110" i="3"/>
  <c r="X115" i="3"/>
  <c r="X114" i="3"/>
  <c r="X113" i="3"/>
  <c r="X89" i="3"/>
  <c r="X88" i="3"/>
  <c r="X87" i="3"/>
  <c r="X92" i="3"/>
  <c r="X65" i="3"/>
  <c r="X56" i="3"/>
  <c r="F6" i="8"/>
  <c r="E6" i="8"/>
  <c r="B6" i="8"/>
  <c r="I78" i="6"/>
  <c r="J78" i="6" s="1"/>
  <c r="K78" i="6" s="1"/>
  <c r="L78" i="6" s="1"/>
  <c r="M78" i="6" s="1"/>
  <c r="N78" i="6" s="1"/>
  <c r="G74" i="6"/>
  <c r="H79" i="6" s="1"/>
  <c r="T79" i="6" s="1"/>
  <c r="C4" i="8" s="1"/>
  <c r="D4" i="8" s="1"/>
  <c r="E22" i="6"/>
  <c r="Y4" i="3"/>
  <c r="Y10" i="3"/>
  <c r="X126" i="3"/>
  <c r="Y126" i="3" s="1"/>
  <c r="P39" i="1"/>
  <c r="P32" i="1"/>
  <c r="P48" i="1"/>
  <c r="P33" i="1"/>
  <c r="P27" i="1"/>
  <c r="P22" i="1"/>
  <c r="P12" i="1"/>
  <c r="P10" i="1"/>
  <c r="P8" i="1"/>
  <c r="P7" i="1"/>
  <c r="P52" i="1"/>
  <c r="P51" i="1"/>
  <c r="P50" i="1"/>
  <c r="P49" i="1"/>
  <c r="P47" i="1"/>
  <c r="P46" i="1"/>
  <c r="P45" i="1"/>
  <c r="P44" i="1"/>
  <c r="P43" i="1"/>
  <c r="P42" i="1"/>
  <c r="P41" i="1"/>
  <c r="P40" i="1"/>
  <c r="P38" i="1"/>
  <c r="P37" i="1"/>
  <c r="P36" i="1"/>
  <c r="P35" i="1"/>
  <c r="P34" i="1"/>
  <c r="P31" i="1"/>
  <c r="P30" i="1"/>
  <c r="P29" i="1"/>
  <c r="P28" i="1"/>
  <c r="P26" i="1"/>
  <c r="P25" i="1"/>
  <c r="P24" i="1"/>
  <c r="P23" i="1"/>
  <c r="P21" i="1"/>
  <c r="P20" i="1"/>
  <c r="P19" i="1"/>
  <c r="P18" i="1"/>
  <c r="P17" i="1"/>
  <c r="P16" i="1"/>
  <c r="P15" i="1"/>
  <c r="P14" i="1"/>
  <c r="P13" i="1"/>
  <c r="P11" i="1"/>
  <c r="P9" i="1"/>
  <c r="F61" i="6" l="1"/>
  <c r="F34" i="6"/>
  <c r="U45" i="6"/>
  <c r="Q76" i="6"/>
  <c r="U72" i="6"/>
  <c r="F10" i="6"/>
  <c r="R76" i="6"/>
  <c r="F24" i="6"/>
  <c r="U11" i="6"/>
  <c r="T11" i="6" s="1"/>
  <c r="U26" i="6"/>
  <c r="T26" i="6" s="1"/>
  <c r="U29" i="6"/>
  <c r="T29" i="6" s="1"/>
  <c r="U10" i="6"/>
  <c r="T10" i="6" s="1"/>
  <c r="U24" i="6"/>
  <c r="T24" i="6" s="1"/>
  <c r="U15" i="6"/>
  <c r="T15" i="6" s="1"/>
  <c r="G28" i="6"/>
  <c r="U18" i="6"/>
  <c r="U31" i="6"/>
  <c r="T31" i="6" s="1"/>
  <c r="U32" i="6"/>
  <c r="T32" i="6" s="1"/>
  <c r="U17" i="6"/>
  <c r="T17" i="6" s="1"/>
  <c r="U30" i="6"/>
  <c r="U16" i="6"/>
  <c r="T16" i="6" s="1"/>
  <c r="U25" i="6"/>
  <c r="T25" i="6" s="1"/>
  <c r="U12" i="6"/>
  <c r="T12" i="6" s="1"/>
  <c r="U13" i="6"/>
  <c r="T13" i="6" s="1"/>
  <c r="U27" i="6"/>
  <c r="T27" i="6" s="1"/>
  <c r="O78" i="6"/>
  <c r="F41" i="6"/>
  <c r="F48" i="6"/>
  <c r="F55" i="6"/>
  <c r="F22" i="6"/>
  <c r="U61" i="6" l="1"/>
  <c r="M76" i="6"/>
  <c r="U37" i="6"/>
  <c r="L76" i="6"/>
  <c r="P76" i="6"/>
  <c r="U38" i="6"/>
  <c r="U39" i="6"/>
  <c r="U53" i="6"/>
  <c r="U73" i="6"/>
  <c r="O76" i="6"/>
  <c r="G73" i="6"/>
  <c r="U68" i="6"/>
  <c r="U65" i="6"/>
  <c r="U71" i="6"/>
  <c r="U52" i="6"/>
  <c r="U36" i="6"/>
  <c r="U67" i="6"/>
  <c r="U8" i="6"/>
  <c r="U50" i="6"/>
  <c r="U63" i="6"/>
  <c r="U64" i="6"/>
  <c r="N76" i="6"/>
  <c r="U62" i="6"/>
  <c r="U44" i="6"/>
  <c r="U51" i="6"/>
  <c r="G72" i="6"/>
  <c r="T72" i="6" s="1"/>
  <c r="K76" i="6"/>
  <c r="G50" i="6"/>
  <c r="U69" i="6"/>
  <c r="G44" i="6"/>
  <c r="U5" i="6"/>
  <c r="S76" i="6"/>
  <c r="G65" i="6"/>
  <c r="G4" i="6"/>
  <c r="U46" i="6"/>
  <c r="G35" i="6"/>
  <c r="G71" i="6"/>
  <c r="K75" i="6"/>
  <c r="G36" i="6"/>
  <c r="M75" i="6"/>
  <c r="H76" i="6"/>
  <c r="L75" i="6"/>
  <c r="N75" i="6"/>
  <c r="U35" i="6"/>
  <c r="G53" i="6"/>
  <c r="G37" i="6"/>
  <c r="G39" i="6"/>
  <c r="G64" i="6"/>
  <c r="U28" i="6"/>
  <c r="T30" i="6"/>
  <c r="T28" i="6" s="1"/>
  <c r="U14" i="6"/>
  <c r="T23" i="6"/>
  <c r="U23" i="6"/>
  <c r="U9" i="6"/>
  <c r="T9" i="6"/>
  <c r="G20" i="6"/>
  <c r="U20" i="6"/>
  <c r="U19" i="6" s="1"/>
  <c r="U4" i="6"/>
  <c r="G69" i="6"/>
  <c r="G7" i="6"/>
  <c r="U7" i="6"/>
  <c r="U49" i="6"/>
  <c r="G49" i="6"/>
  <c r="O75" i="6"/>
  <c r="P78" i="6"/>
  <c r="G68" i="6"/>
  <c r="G52" i="6"/>
  <c r="I76" i="6"/>
  <c r="U56" i="6"/>
  <c r="G56" i="6"/>
  <c r="G8" i="6"/>
  <c r="G45" i="6"/>
  <c r="T45" i="6" s="1"/>
  <c r="U43" i="6"/>
  <c r="G43" i="6"/>
  <c r="G34" i="6"/>
  <c r="G5" i="6"/>
  <c r="G59" i="6"/>
  <c r="U59" i="6"/>
  <c r="G62" i="6"/>
  <c r="G51" i="6"/>
  <c r="U42" i="6"/>
  <c r="G42" i="6"/>
  <c r="G38" i="6"/>
  <c r="G63" i="6"/>
  <c r="U57" i="6"/>
  <c r="G57" i="6"/>
  <c r="J76" i="6"/>
  <c r="G61" i="6"/>
  <c r="G58" i="6"/>
  <c r="U58" i="6"/>
  <c r="G46" i="6"/>
  <c r="U34" i="6"/>
  <c r="G67" i="6"/>
  <c r="T39" i="6" l="1"/>
  <c r="T52" i="6"/>
  <c r="M77" i="6"/>
  <c r="T37" i="6"/>
  <c r="L77" i="6"/>
  <c r="T38" i="6"/>
  <c r="T68" i="6"/>
  <c r="T63" i="6"/>
  <c r="U60" i="6"/>
  <c r="K77" i="6"/>
  <c r="N77" i="6"/>
  <c r="U70" i="6"/>
  <c r="G70" i="6"/>
  <c r="T53" i="6"/>
  <c r="T71" i="6"/>
  <c r="U6" i="6"/>
  <c r="T73" i="6"/>
  <c r="T8" i="6"/>
  <c r="T46" i="6"/>
  <c r="T5" i="6"/>
  <c r="T62" i="6"/>
  <c r="T64" i="6"/>
  <c r="T65" i="6"/>
  <c r="U66" i="6"/>
  <c r="T36" i="6"/>
  <c r="T50" i="6"/>
  <c r="T51" i="6"/>
  <c r="T44" i="6"/>
  <c r="T69" i="6"/>
  <c r="T43" i="6"/>
  <c r="T56" i="6"/>
  <c r="T35" i="6"/>
  <c r="H75" i="6"/>
  <c r="H77" i="6" s="1"/>
  <c r="U3" i="6"/>
  <c r="U33" i="6"/>
  <c r="G33" i="6"/>
  <c r="U48" i="6"/>
  <c r="U47" i="6" s="1"/>
  <c r="T57" i="6"/>
  <c r="T42" i="6"/>
  <c r="I75" i="6"/>
  <c r="I77" i="6" s="1"/>
  <c r="J75" i="6"/>
  <c r="J77" i="6" s="1"/>
  <c r="G41" i="6"/>
  <c r="G40" i="6" s="1"/>
  <c r="O77" i="6"/>
  <c r="G60" i="6"/>
  <c r="T61" i="6"/>
  <c r="T59" i="6"/>
  <c r="T34" i="6"/>
  <c r="G6" i="6"/>
  <c r="T7" i="6"/>
  <c r="T76" i="6"/>
  <c r="C3" i="8" s="1"/>
  <c r="D3" i="8" s="1"/>
  <c r="G19" i="6"/>
  <c r="T20" i="6"/>
  <c r="T19" i="6" s="1"/>
  <c r="G66" i="6"/>
  <c r="T67" i="6"/>
  <c r="G3" i="6"/>
  <c r="T4" i="6"/>
  <c r="G48" i="6"/>
  <c r="G55" i="6"/>
  <c r="T49" i="6"/>
  <c r="U55" i="6"/>
  <c r="U54" i="6" s="1"/>
  <c r="Q78" i="6"/>
  <c r="P75" i="6"/>
  <c r="T58" i="6"/>
  <c r="G22" i="6"/>
  <c r="U22" i="6"/>
  <c r="U21" i="6" s="1"/>
  <c r="U41" i="6"/>
  <c r="U40" i="6" s="1"/>
  <c r="T70" i="6" l="1"/>
  <c r="T6" i="6"/>
  <c r="T3" i="6"/>
  <c r="T60" i="6"/>
  <c r="T66" i="6"/>
  <c r="T33" i="6"/>
  <c r="P77" i="6"/>
  <c r="Q75" i="6"/>
  <c r="R78" i="6"/>
  <c r="T22" i="6"/>
  <c r="T21" i="6" s="1"/>
  <c r="G21" i="6"/>
  <c r="T41" i="6"/>
  <c r="T40" i="6" s="1"/>
  <c r="G54" i="6"/>
  <c r="T55" i="6"/>
  <c r="T54" i="6" s="1"/>
  <c r="T48" i="6"/>
  <c r="T47" i="6" s="1"/>
  <c r="G47" i="6"/>
  <c r="Q77" i="6" l="1"/>
  <c r="S78" i="6"/>
  <c r="R75" i="6"/>
  <c r="R77" i="6" l="1"/>
  <c r="S75" i="6"/>
  <c r="T78" i="6"/>
  <c r="C5" i="8" s="1"/>
  <c r="D5" i="8" s="1"/>
  <c r="S77" i="6" l="1"/>
  <c r="T77" i="6" s="1"/>
  <c r="C2" i="8" s="1"/>
  <c r="C6" i="8" s="1"/>
  <c r="D6" i="8" s="1"/>
  <c r="T75" i="6"/>
  <c r="D2" i="8" l="1"/>
  <c r="W27" i="18" l="1"/>
  <c r="W28" i="18" l="1"/>
  <c r="C26" i="27"/>
  <c r="C25" i="27" s="1"/>
  <c r="C83" i="27" s="1"/>
  <c r="I22" i="25"/>
  <c r="G18" i="6"/>
  <c r="T18" i="6" s="1"/>
  <c r="T14" i="6" s="1"/>
  <c r="X28" i="18" l="1"/>
  <c r="D100" i="27"/>
  <c r="S143" i="3"/>
  <c r="S147" i="3" s="1"/>
  <c r="I116" i="25"/>
  <c r="I120" i="25" s="1"/>
  <c r="I83" i="25"/>
  <c r="Y99" i="25" l="1"/>
  <c r="AI89" i="25"/>
  <c r="AI90" i="25" s="1"/>
  <c r="I86" i="25"/>
  <c r="V139" i="3" l="1"/>
  <c r="W19" i="3"/>
  <c r="V130" i="3" l="1"/>
  <c r="V132" i="3" s="1"/>
  <c r="V143" i="3"/>
  <c r="V147" i="3" s="1"/>
  <c r="W139" i="3"/>
  <c r="W126" i="3"/>
  <c r="W10" i="3" l="1"/>
  <c r="W5" i="3" s="1"/>
  <c r="W4" i="3" s="1"/>
  <c r="W130" i="3" s="1"/>
  <c r="W132" i="3" s="1"/>
  <c r="W143" i="3"/>
  <c r="W147" i="3" s="1"/>
  <c r="K7" i="19"/>
  <c r="E7" i="19"/>
  <c r="E6" i="19"/>
  <c r="D6" i="27" l="1"/>
  <c r="D5" i="27"/>
  <c r="E9" i="19"/>
  <c r="Z4" i="25" s="1"/>
  <c r="K9" i="19"/>
  <c r="H7" i="19"/>
  <c r="H9" i="19" s="1"/>
  <c r="E15" i="19"/>
  <c r="H15" i="19"/>
  <c r="H14" i="19"/>
  <c r="E14" i="19"/>
  <c r="D4" i="27" l="1"/>
  <c r="D10" i="27"/>
  <c r="E16" i="19"/>
  <c r="D9" i="27"/>
  <c r="H16" i="19"/>
  <c r="K14" i="19"/>
  <c r="K15" i="19"/>
  <c r="H27" i="19"/>
  <c r="K27" i="19"/>
  <c r="E27" i="19"/>
  <c r="D8" i="27" l="1"/>
  <c r="D21" i="27"/>
  <c r="K16" i="19"/>
  <c r="K30" i="19"/>
  <c r="E28" i="19"/>
  <c r="H28" i="19"/>
  <c r="H29" i="19"/>
  <c r="E29" i="19"/>
  <c r="D18" i="27" l="1"/>
  <c r="D23" i="27"/>
  <c r="D22" i="27"/>
  <c r="D17" i="27"/>
  <c r="E31" i="19"/>
  <c r="H30" i="19"/>
  <c r="H31" i="19" s="1"/>
  <c r="K29" i="19"/>
  <c r="K28" i="19"/>
  <c r="E44" i="19"/>
  <c r="H44" i="19"/>
  <c r="H45" i="19" s="1"/>
  <c r="D15" i="27" l="1"/>
  <c r="D20" i="27"/>
  <c r="E45" i="19"/>
  <c r="D26" i="27"/>
  <c r="D25" i="27" s="1"/>
  <c r="K31" i="19"/>
  <c r="K44" i="19"/>
  <c r="K45" i="19" s="1"/>
  <c r="H56" i="19"/>
  <c r="E56" i="19"/>
  <c r="K56" i="19"/>
  <c r="D14" i="27" l="1"/>
  <c r="D36" i="27"/>
  <c r="K58" i="19"/>
  <c r="E57" i="19"/>
  <c r="H57" i="19"/>
  <c r="E59" i="19"/>
  <c r="K59" i="19"/>
  <c r="E58" i="19"/>
  <c r="H58" i="19"/>
  <c r="D39" i="27" l="1"/>
  <c r="D34" i="27"/>
  <c r="D38" i="27"/>
  <c r="D33" i="27"/>
  <c r="D37" i="27"/>
  <c r="D32" i="27"/>
  <c r="H59" i="19"/>
  <c r="H60" i="19" s="1"/>
  <c r="E60" i="19"/>
  <c r="K57" i="19"/>
  <c r="K60" i="19" s="1"/>
  <c r="H75" i="19"/>
  <c r="K75" i="19"/>
  <c r="H77" i="19"/>
  <c r="H74" i="19"/>
  <c r="E77" i="19"/>
  <c r="E76" i="19"/>
  <c r="H76" i="19"/>
  <c r="E74" i="19"/>
  <c r="E72" i="19"/>
  <c r="H72" i="19"/>
  <c r="K72" i="19"/>
  <c r="E73" i="19"/>
  <c r="H73" i="19"/>
  <c r="E75" i="19"/>
  <c r="D42" i="27" l="1"/>
  <c r="D43" i="27"/>
  <c r="D44" i="27"/>
  <c r="D45" i="27"/>
  <c r="D41" i="27"/>
  <c r="D46" i="27"/>
  <c r="D30" i="27"/>
  <c r="D35" i="27"/>
  <c r="K74" i="19"/>
  <c r="H78" i="19"/>
  <c r="K73" i="19"/>
  <c r="K77" i="19"/>
  <c r="E78" i="19"/>
  <c r="K76" i="19"/>
  <c r="H86" i="19"/>
  <c r="H87" i="19"/>
  <c r="K86" i="19"/>
  <c r="E85" i="19"/>
  <c r="K85" i="19"/>
  <c r="K87" i="19"/>
  <c r="E86" i="19"/>
  <c r="E82" i="19"/>
  <c r="H82" i="19"/>
  <c r="E87" i="19"/>
  <c r="E84" i="19"/>
  <c r="H84" i="19"/>
  <c r="K84" i="19"/>
  <c r="E83" i="19"/>
  <c r="K83" i="19"/>
  <c r="H83" i="19"/>
  <c r="D40" i="27" l="1"/>
  <c r="D29" i="27"/>
  <c r="D50" i="27"/>
  <c r="D49" i="27"/>
  <c r="D53" i="27"/>
  <c r="D52" i="27"/>
  <c r="D51" i="27"/>
  <c r="E88" i="19"/>
  <c r="D48" i="27"/>
  <c r="K78" i="19"/>
  <c r="K82" i="19"/>
  <c r="K88" i="19" s="1"/>
  <c r="H85" i="19"/>
  <c r="H88" i="19" s="1"/>
  <c r="H97" i="19"/>
  <c r="K96" i="19"/>
  <c r="E96" i="19"/>
  <c r="E94" i="19"/>
  <c r="H94" i="19"/>
  <c r="K94" i="19"/>
  <c r="H92" i="19"/>
  <c r="K92" i="19"/>
  <c r="E97" i="19"/>
  <c r="E95" i="19"/>
  <c r="H95" i="19"/>
  <c r="E92" i="19"/>
  <c r="E93" i="19"/>
  <c r="H93" i="19"/>
  <c r="K93" i="19"/>
  <c r="D47" i="27" l="1"/>
  <c r="D58" i="27"/>
  <c r="D56" i="27"/>
  <c r="D60" i="27"/>
  <c r="D55" i="27"/>
  <c r="D57" i="27"/>
  <c r="E98" i="19"/>
  <c r="D59" i="27"/>
  <c r="H96" i="19"/>
  <c r="H98" i="19" s="1"/>
  <c r="K97" i="19"/>
  <c r="K95" i="19"/>
  <c r="H106" i="19"/>
  <c r="E105" i="19"/>
  <c r="K105" i="19"/>
  <c r="H107" i="19"/>
  <c r="K106" i="19"/>
  <c r="E107" i="19"/>
  <c r="E106" i="19"/>
  <c r="E104" i="19"/>
  <c r="H104" i="19"/>
  <c r="K104" i="19"/>
  <c r="E103" i="19"/>
  <c r="H103" i="19"/>
  <c r="D63" i="27" l="1"/>
  <c r="D65" i="27"/>
  <c r="D66" i="27"/>
  <c r="D64" i="27"/>
  <c r="D54" i="27"/>
  <c r="K98" i="19"/>
  <c r="E108" i="19"/>
  <c r="D62" i="27"/>
  <c r="K103" i="19"/>
  <c r="K107" i="19"/>
  <c r="H105" i="19"/>
  <c r="H108" i="19" s="1"/>
  <c r="H115" i="19"/>
  <c r="H113" i="19"/>
  <c r="K113" i="19"/>
  <c r="E114" i="19"/>
  <c r="H114" i="19"/>
  <c r="K114" i="19"/>
  <c r="E116" i="19"/>
  <c r="H116" i="19"/>
  <c r="E112" i="19"/>
  <c r="K112" i="19"/>
  <c r="H112" i="19"/>
  <c r="E113" i="19"/>
  <c r="E115" i="19"/>
  <c r="K115" i="19"/>
  <c r="D70" i="27" l="1"/>
  <c r="D72" i="27"/>
  <c r="D69" i="27"/>
  <c r="D71" i="27"/>
  <c r="D68" i="27"/>
  <c r="D61" i="27"/>
  <c r="K108" i="19"/>
  <c r="E117" i="19"/>
  <c r="H117" i="19"/>
  <c r="K116" i="19"/>
  <c r="K117" i="19" s="1"/>
  <c r="E123" i="19"/>
  <c r="K123" i="19"/>
  <c r="E122" i="19"/>
  <c r="H122" i="19"/>
  <c r="E121" i="19"/>
  <c r="H121" i="19"/>
  <c r="D67" i="27" l="1"/>
  <c r="D75" i="27"/>
  <c r="D74" i="27"/>
  <c r="D76" i="27"/>
  <c r="E124" i="19"/>
  <c r="H123" i="19"/>
  <c r="H124" i="19" s="1"/>
  <c r="K122" i="19"/>
  <c r="K121" i="19"/>
  <c r="E130" i="19"/>
  <c r="K130" i="19"/>
  <c r="H129" i="19"/>
  <c r="E129" i="19"/>
  <c r="E128" i="19"/>
  <c r="H128" i="19"/>
  <c r="K128" i="19"/>
  <c r="D73" i="27" l="1"/>
  <c r="D78" i="27"/>
  <c r="D80" i="27"/>
  <c r="E131" i="19"/>
  <c r="D79" i="27"/>
  <c r="K124" i="19"/>
  <c r="H130" i="19"/>
  <c r="H131" i="19" s="1"/>
  <c r="K129" i="19"/>
  <c r="K131" i="19" s="1"/>
  <c r="E135" i="19"/>
  <c r="K135" i="19"/>
  <c r="K136" i="19" s="1"/>
  <c r="D77" i="27" l="1"/>
  <c r="E136" i="19"/>
  <c r="D82" i="27"/>
  <c r="D81" i="27" s="1"/>
  <c r="H135" i="19"/>
  <c r="H136" i="19" s="1"/>
  <c r="E140" i="19"/>
  <c r="E141" i="19" s="1"/>
  <c r="D83" i="27" l="1"/>
  <c r="E145" i="19"/>
  <c r="E146" i="19"/>
  <c r="E147" i="19" l="1"/>
  <c r="E149" i="19" s="1"/>
  <c r="E151" i="19" s="1"/>
  <c r="H149" i="19"/>
  <c r="H151" i="19" s="1"/>
  <c r="K149" i="19"/>
  <c r="K151" i="19" s="1"/>
  <c r="S130" i="3" l="1"/>
  <c r="S132" i="3" s="1"/>
  <c r="C88" i="27"/>
  <c r="V54" i="18" l="1"/>
  <c r="X54" i="18" s="1"/>
  <c r="J89" i="18" l="1"/>
  <c r="I3" i="36" l="1"/>
  <c r="I2" i="36" s="1"/>
  <c r="W3" i="36"/>
  <c r="W6" i="36" s="1"/>
  <c r="V99" i="36" l="1"/>
  <c r="J98" i="33"/>
  <c r="AA3" i="36"/>
  <c r="AB3" i="36" s="1"/>
  <c r="V110" i="36"/>
  <c r="V111" i="36" s="1"/>
  <c r="I90" i="36"/>
  <c r="V118" i="36"/>
  <c r="V119" i="36" s="1"/>
  <c r="W120" i="36" s="1"/>
  <c r="V87" i="36"/>
  <c r="J105" i="33" l="1"/>
  <c r="J112" i="33" s="1"/>
  <c r="V126" i="36"/>
  <c r="V127" i="36" s="1"/>
  <c r="I14" i="36" l="1"/>
  <c r="I13" i="36" s="1"/>
  <c r="I89" i="36" s="1"/>
  <c r="I91" i="36" s="1"/>
  <c r="V98" i="36"/>
  <c r="V96" i="36" s="1"/>
  <c r="V100" i="36" s="1"/>
  <c r="V84" i="36"/>
  <c r="W14" i="33"/>
  <c r="W16" i="33" s="1"/>
  <c r="W14" i="36"/>
  <c r="W16" i="36" s="1"/>
  <c r="I14" i="33" l="1"/>
  <c r="I13" i="33" s="1"/>
  <c r="J97" i="33"/>
  <c r="J104" i="33" l="1"/>
  <c r="J111" i="33" s="1"/>
  <c r="V111" i="33" s="1"/>
  <c r="V97" i="33"/>
  <c r="V104" i="33" l="1"/>
  <c r="W5" i="33" l="1"/>
  <c r="V5" i="33"/>
  <c r="V6" i="33" s="1"/>
  <c r="L89" i="33"/>
  <c r="L96" i="33" s="1"/>
  <c r="N89" i="33"/>
  <c r="N88" i="33" s="1"/>
  <c r="R89" i="33"/>
  <c r="R88" i="33" s="1"/>
  <c r="K89" i="33"/>
  <c r="S89" i="33"/>
  <c r="T89" i="33"/>
  <c r="T88" i="33" s="1"/>
  <c r="P89" i="33"/>
  <c r="P96" i="33" s="1"/>
  <c r="Q89" i="33"/>
  <c r="Q96" i="33" s="1"/>
  <c r="Q95" i="33" s="1"/>
  <c r="M89" i="33"/>
  <c r="M96" i="33" s="1"/>
  <c r="U89" i="33"/>
  <c r="O89" i="33"/>
  <c r="O88" i="33" s="1"/>
  <c r="I5" i="33"/>
  <c r="U96" i="33" l="1"/>
  <c r="U95" i="33" s="1"/>
  <c r="U88" i="33"/>
  <c r="S96" i="33"/>
  <c r="S103" i="33" s="1"/>
  <c r="S88" i="33"/>
  <c r="P88" i="33"/>
  <c r="T96" i="33"/>
  <c r="T103" i="33" s="1"/>
  <c r="Q88" i="33"/>
  <c r="P95" i="33"/>
  <c r="P103" i="33"/>
  <c r="R96" i="33"/>
  <c r="R103" i="33" s="1"/>
  <c r="M88" i="33"/>
  <c r="O96" i="33"/>
  <c r="M95" i="33"/>
  <c r="M103" i="33"/>
  <c r="L103" i="33"/>
  <c r="L95" i="33"/>
  <c r="N96" i="33"/>
  <c r="L88" i="33"/>
  <c r="K96" i="33"/>
  <c r="Q103" i="33"/>
  <c r="S95" i="33" l="1"/>
  <c r="P102" i="33"/>
  <c r="P110" i="33"/>
  <c r="P109" i="33" s="1"/>
  <c r="Q102" i="33"/>
  <c r="Q110" i="33"/>
  <c r="Q109" i="33" s="1"/>
  <c r="S102" i="33"/>
  <c r="S110" i="33"/>
  <c r="S109" i="33" s="1"/>
  <c r="R102" i="33"/>
  <c r="R110" i="33"/>
  <c r="R109" i="33" s="1"/>
  <c r="M102" i="33"/>
  <c r="M110" i="33"/>
  <c r="M109" i="33" s="1"/>
  <c r="T102" i="33"/>
  <c r="T110" i="33"/>
  <c r="T109" i="33" s="1"/>
  <c r="L102" i="33"/>
  <c r="L110" i="33"/>
  <c r="L109" i="33" s="1"/>
  <c r="U103" i="33"/>
  <c r="T95" i="33"/>
  <c r="R95" i="33"/>
  <c r="O95" i="33"/>
  <c r="O103" i="33"/>
  <c r="K103" i="33"/>
  <c r="K110" i="33" s="1"/>
  <c r="N95" i="33"/>
  <c r="N103" i="33"/>
  <c r="N102" i="33" l="1"/>
  <c r="N110" i="33"/>
  <c r="N109" i="33" s="1"/>
  <c r="O102" i="33"/>
  <c r="O110" i="33"/>
  <c r="O109" i="33" s="1"/>
  <c r="U102" i="33"/>
  <c r="U110" i="33"/>
  <c r="U109" i="33" s="1"/>
  <c r="V89" i="33"/>
  <c r="I4" i="33" l="1"/>
  <c r="I2" i="33" s="1"/>
  <c r="W4" i="33"/>
  <c r="J88" i="33"/>
  <c r="J96" i="33"/>
  <c r="X4" i="33" l="1"/>
  <c r="V75" i="37"/>
  <c r="R91" i="37"/>
  <c r="I50" i="37"/>
  <c r="P91" i="37"/>
  <c r="S91" i="37"/>
  <c r="T91" i="37"/>
  <c r="I11" i="37"/>
  <c r="W71" i="37"/>
  <c r="U91" i="37"/>
  <c r="K91" i="37"/>
  <c r="N91" i="37"/>
  <c r="W9" i="37"/>
  <c r="W23" i="37"/>
  <c r="L91" i="37"/>
  <c r="Q91" i="37"/>
  <c r="M91" i="37"/>
  <c r="O91" i="37"/>
  <c r="V78" i="37"/>
  <c r="W25" i="37"/>
  <c r="V43" i="37"/>
  <c r="W52" i="37"/>
  <c r="S88" i="37"/>
  <c r="W74" i="37"/>
  <c r="I20" i="37"/>
  <c r="J95" i="33"/>
  <c r="V96" i="33"/>
  <c r="J103" i="33"/>
  <c r="J110" i="33" s="1"/>
  <c r="V110" i="33" l="1"/>
  <c r="J109" i="33"/>
  <c r="S124" i="28"/>
  <c r="T124" i="28" s="1"/>
  <c r="U124" i="28" s="1"/>
  <c r="S34" i="28"/>
  <c r="T34" i="28" s="1"/>
  <c r="U34" i="28" s="1"/>
  <c r="S95" i="28"/>
  <c r="T95" i="28" s="1"/>
  <c r="U95" i="28" s="1"/>
  <c r="S122" i="28"/>
  <c r="T122" i="28" s="1"/>
  <c r="U122" i="28" s="1"/>
  <c r="S36" i="28"/>
  <c r="T36" i="28" s="1"/>
  <c r="U36" i="28" s="1"/>
  <c r="S112" i="28"/>
  <c r="U112" i="28" s="1"/>
  <c r="S114" i="28"/>
  <c r="S52" i="28"/>
  <c r="T52" i="28" s="1"/>
  <c r="U52" i="28" s="1"/>
  <c r="V64" i="37"/>
  <c r="V80" i="37"/>
  <c r="I15" i="37"/>
  <c r="V18" i="37"/>
  <c r="W80" i="37"/>
  <c r="W45" i="37"/>
  <c r="I29" i="37"/>
  <c r="I28" i="37" s="1"/>
  <c r="J89" i="37"/>
  <c r="I82" i="37"/>
  <c r="I81" i="37" s="1"/>
  <c r="I25" i="37"/>
  <c r="V34" i="37"/>
  <c r="I5" i="37"/>
  <c r="I64" i="37"/>
  <c r="V25" i="37"/>
  <c r="V74" i="37"/>
  <c r="O89" i="37"/>
  <c r="I75" i="37"/>
  <c r="W46" i="37"/>
  <c r="V76" i="37"/>
  <c r="V20" i="37"/>
  <c r="I65" i="37"/>
  <c r="I4" i="37"/>
  <c r="K88" i="37"/>
  <c r="I49" i="37"/>
  <c r="W14" i="37"/>
  <c r="I58" i="37"/>
  <c r="V9" i="37"/>
  <c r="I23" i="37"/>
  <c r="W51" i="37"/>
  <c r="K89" i="37"/>
  <c r="W43" i="37"/>
  <c r="Q88" i="37"/>
  <c r="W20" i="37"/>
  <c r="T87" i="37"/>
  <c r="M89" i="37"/>
  <c r="M87" i="37"/>
  <c r="I69" i="37"/>
  <c r="I52" i="37"/>
  <c r="V45" i="37"/>
  <c r="W11" i="37"/>
  <c r="V79" i="37"/>
  <c r="N88" i="37"/>
  <c r="I38" i="37"/>
  <c r="U87" i="37"/>
  <c r="W8" i="37"/>
  <c r="W10" i="37" s="1"/>
  <c r="I53" i="37"/>
  <c r="I42" i="37"/>
  <c r="R89" i="37"/>
  <c r="W76" i="37"/>
  <c r="I27" i="37"/>
  <c r="I26" i="37" s="1"/>
  <c r="W72" i="37"/>
  <c r="I70" i="37"/>
  <c r="I18" i="37"/>
  <c r="T89" i="37"/>
  <c r="W64" i="37"/>
  <c r="V59" i="37"/>
  <c r="V46" i="37"/>
  <c r="V82" i="37"/>
  <c r="W63" i="37"/>
  <c r="I32" i="37"/>
  <c r="I45" i="37"/>
  <c r="V60" i="37"/>
  <c r="I12" i="37"/>
  <c r="I10" i="37" s="1"/>
  <c r="K87" i="37" s="1"/>
  <c r="O87" i="37"/>
  <c r="R88" i="37"/>
  <c r="W18" i="37"/>
  <c r="W69" i="37"/>
  <c r="W4" i="37"/>
  <c r="U88" i="37"/>
  <c r="P87" i="37"/>
  <c r="V37" i="37"/>
  <c r="I14" i="37"/>
  <c r="W79" i="37"/>
  <c r="W57" i="37"/>
  <c r="W37" i="37"/>
  <c r="W5" i="37"/>
  <c r="W12" i="37"/>
  <c r="W19" i="37"/>
  <c r="Q89" i="37"/>
  <c r="T88" i="37"/>
  <c r="V69" i="37"/>
  <c r="V23" i="37"/>
  <c r="I46" i="37"/>
  <c r="I34" i="37"/>
  <c r="I57" i="37"/>
  <c r="W50" i="37"/>
  <c r="I78" i="37"/>
  <c r="I59" i="37"/>
  <c r="W34" i="37"/>
  <c r="V19" i="37"/>
  <c r="V44" i="37"/>
  <c r="I74" i="37"/>
  <c r="V58" i="37"/>
  <c r="I60" i="37"/>
  <c r="I72" i="37"/>
  <c r="L88" i="37"/>
  <c r="V4" i="37"/>
  <c r="W78" i="37"/>
  <c r="V72" i="37"/>
  <c r="N89" i="37"/>
  <c r="I19" i="37"/>
  <c r="V24" i="37"/>
  <c r="V8" i="37"/>
  <c r="L87" i="37"/>
  <c r="W58" i="37"/>
  <c r="W66" i="37"/>
  <c r="V33" i="37"/>
  <c r="W33" i="37"/>
  <c r="I66" i="37"/>
  <c r="W32" i="37"/>
  <c r="W75" i="37"/>
  <c r="J102" i="33"/>
  <c r="V103" i="33"/>
  <c r="V12" i="37"/>
  <c r="I9" i="37"/>
  <c r="O88" i="37"/>
  <c r="W44" i="37"/>
  <c r="W49" i="37"/>
  <c r="V66" i="37"/>
  <c r="S87" i="37"/>
  <c r="N87" i="37"/>
  <c r="I80" i="37"/>
  <c r="I43" i="37"/>
  <c r="I63" i="37"/>
  <c r="V5" i="37"/>
  <c r="W56" i="37"/>
  <c r="I33" i="37"/>
  <c r="U89" i="37"/>
  <c r="W29" i="37"/>
  <c r="W30" i="37" s="1"/>
  <c r="V14" i="37"/>
  <c r="V70" i="37"/>
  <c r="V42" i="37"/>
  <c r="J91" i="37"/>
  <c r="V91" i="37" s="1"/>
  <c r="I83" i="37"/>
  <c r="W60" i="37"/>
  <c r="I44" i="37"/>
  <c r="I24" i="37"/>
  <c r="V63" i="37"/>
  <c r="W27" i="37"/>
  <c r="W28" i="37" s="1"/>
  <c r="W38" i="37"/>
  <c r="P89" i="37"/>
  <c r="I39" i="37"/>
  <c r="W70" i="37"/>
  <c r="W42" i="37"/>
  <c r="M88" i="37"/>
  <c r="V65" i="37"/>
  <c r="V71" i="37"/>
  <c r="W15" i="37"/>
  <c r="I51" i="37"/>
  <c r="W53" i="37"/>
  <c r="V32" i="37"/>
  <c r="V49" i="37"/>
  <c r="V39" i="37"/>
  <c r="J87" i="37"/>
  <c r="I8" i="37"/>
  <c r="I79" i="37"/>
  <c r="W59" i="37"/>
  <c r="W65" i="37"/>
  <c r="W39" i="37"/>
  <c r="V15" i="37"/>
  <c r="V57" i="37"/>
  <c r="V27" i="37"/>
  <c r="V28" i="37" s="1"/>
  <c r="V11" i="37"/>
  <c r="V51" i="37"/>
  <c r="V56" i="37"/>
  <c r="P88" i="37"/>
  <c r="I37" i="37"/>
  <c r="I76" i="37"/>
  <c r="S89" i="37"/>
  <c r="S92" i="37" s="1"/>
  <c r="I56" i="37"/>
  <c r="I71" i="37"/>
  <c r="W24" i="37"/>
  <c r="Q87" i="37"/>
  <c r="V53" i="37"/>
  <c r="V38" i="37"/>
  <c r="V29" i="37"/>
  <c r="V30" i="37" s="1"/>
  <c r="L89" i="37"/>
  <c r="T114" i="28" l="1"/>
  <c r="U114" i="28" s="1"/>
  <c r="V88" i="37"/>
  <c r="V87" i="37"/>
  <c r="R92" i="37"/>
  <c r="P128" i="28"/>
  <c r="P134" i="28" s="1"/>
  <c r="V89" i="37"/>
  <c r="W16" i="37"/>
  <c r="I6" i="37"/>
  <c r="I13" i="37"/>
  <c r="S121" i="28"/>
  <c r="S96" i="28"/>
  <c r="T96" i="28" s="1"/>
  <c r="U96" i="28" s="1"/>
  <c r="S33" i="28"/>
  <c r="T33" i="28" s="1"/>
  <c r="U33" i="28" s="1"/>
  <c r="S119" i="28"/>
  <c r="T119" i="28" s="1"/>
  <c r="U119" i="28" s="1"/>
  <c r="S63" i="28"/>
  <c r="T63" i="28" s="1"/>
  <c r="U63" i="28" s="1"/>
  <c r="S117" i="28"/>
  <c r="T117" i="28" s="1"/>
  <c r="U117" i="28" s="1"/>
  <c r="S76" i="28"/>
  <c r="T76" i="28" s="1"/>
  <c r="U76" i="28" s="1"/>
  <c r="U59" i="28"/>
  <c r="V59" i="28" s="1"/>
  <c r="S103" i="28"/>
  <c r="T103" i="28" s="1"/>
  <c r="U103" i="28" s="1"/>
  <c r="S125" i="28"/>
  <c r="T125" i="28" s="1"/>
  <c r="U125" i="28" s="1"/>
  <c r="S69" i="28"/>
  <c r="T69" i="28" s="1"/>
  <c r="U69" i="28" s="1"/>
  <c r="S66" i="28"/>
  <c r="T66" i="28" s="1"/>
  <c r="U66" i="28" s="1"/>
  <c r="S118" i="28"/>
  <c r="T118" i="28" s="1"/>
  <c r="U118" i="28" s="1"/>
  <c r="S53" i="28"/>
  <c r="T53" i="28" s="1"/>
  <c r="U53" i="28" s="1"/>
  <c r="S115" i="28"/>
  <c r="T115" i="28" s="1"/>
  <c r="U115" i="28" s="1"/>
  <c r="S28" i="28"/>
  <c r="U28" i="28" s="1"/>
  <c r="V28" i="28" s="1"/>
  <c r="S78" i="28"/>
  <c r="T78" i="28" s="1"/>
  <c r="U78" i="28" s="1"/>
  <c r="S43" i="28"/>
  <c r="T43" i="28" s="1"/>
  <c r="U43" i="28" s="1"/>
  <c r="S84" i="28"/>
  <c r="T84" i="28" s="1"/>
  <c r="U84" i="28" s="1"/>
  <c r="S44" i="28"/>
  <c r="T44" i="28" s="1"/>
  <c r="U44" i="28" s="1"/>
  <c r="S116" i="28"/>
  <c r="T116" i="28" s="1"/>
  <c r="U116" i="28" s="1"/>
  <c r="S68" i="28"/>
  <c r="T68" i="28" s="1"/>
  <c r="U68" i="28" s="1"/>
  <c r="T85" i="28"/>
  <c r="U85" i="28" s="1"/>
  <c r="S105" i="28"/>
  <c r="T105" i="28" s="1"/>
  <c r="U105" i="28" s="1"/>
  <c r="S104" i="28"/>
  <c r="T104" i="28" s="1"/>
  <c r="U104" i="28" s="1"/>
  <c r="S31" i="28"/>
  <c r="S73" i="28"/>
  <c r="S89" i="28"/>
  <c r="T89" i="28" s="1"/>
  <c r="U89" i="28" s="1"/>
  <c r="S25" i="28"/>
  <c r="U25" i="28" s="1"/>
  <c r="V25" i="28" s="1"/>
  <c r="S101" i="28"/>
  <c r="S82" i="28"/>
  <c r="T82" i="28" s="1"/>
  <c r="U82" i="28" s="1"/>
  <c r="S123" i="28"/>
  <c r="T123" i="28" s="1"/>
  <c r="U123" i="28" s="1"/>
  <c r="S42" i="28"/>
  <c r="T42" i="28" s="1"/>
  <c r="U42" i="28" s="1"/>
  <c r="S77" i="28"/>
  <c r="T77" i="28" s="1"/>
  <c r="U77" i="28" s="1"/>
  <c r="S86" i="28"/>
  <c r="T86" i="28" s="1"/>
  <c r="U86" i="28" s="1"/>
  <c r="S27" i="28"/>
  <c r="S62" i="28"/>
  <c r="S51" i="28"/>
  <c r="T51" i="28" s="1"/>
  <c r="U51" i="28" s="1"/>
  <c r="S32" i="28"/>
  <c r="T32" i="28" s="1"/>
  <c r="U32" i="28" s="1"/>
  <c r="S81" i="28"/>
  <c r="S83" i="28"/>
  <c r="T83" i="28" s="1"/>
  <c r="U83" i="28" s="1"/>
  <c r="S94" i="28"/>
  <c r="T94" i="28" s="1"/>
  <c r="U94" i="28" s="1"/>
  <c r="S93" i="28"/>
  <c r="T93" i="28" s="1"/>
  <c r="U93" i="28" s="1"/>
  <c r="S70" i="28"/>
  <c r="T70" i="28" s="1"/>
  <c r="U70" i="28" s="1"/>
  <c r="S106" i="28"/>
  <c r="T106" i="28" s="1"/>
  <c r="U106" i="28" s="1"/>
  <c r="S74" i="28"/>
  <c r="T74" i="28" s="1"/>
  <c r="U74" i="28" s="1"/>
  <c r="S91" i="28"/>
  <c r="S75" i="28"/>
  <c r="T75" i="28" s="1"/>
  <c r="U75" i="28" s="1"/>
  <c r="S24" i="28"/>
  <c r="U24" i="28" s="1"/>
  <c r="V24" i="28" s="1"/>
  <c r="S102" i="28"/>
  <c r="T102" i="28" s="1"/>
  <c r="U102" i="28" s="1"/>
  <c r="R151" i="28"/>
  <c r="X83" i="37"/>
  <c r="W26" i="37"/>
  <c r="W13" i="37"/>
  <c r="W54" i="37"/>
  <c r="W6" i="37"/>
  <c r="X8" i="37"/>
  <c r="I54" i="37"/>
  <c r="X28" i="37"/>
  <c r="I77" i="37"/>
  <c r="V77" i="37"/>
  <c r="V73" i="37"/>
  <c r="V40" i="37"/>
  <c r="V16" i="37"/>
  <c r="O92" i="37"/>
  <c r="P92" i="37"/>
  <c r="I2" i="37"/>
  <c r="V6" i="37"/>
  <c r="W40" i="37"/>
  <c r="X30" i="37"/>
  <c r="V67" i="37"/>
  <c r="I16" i="37"/>
  <c r="V61" i="37"/>
  <c r="N92" i="37"/>
  <c r="I47" i="37"/>
  <c r="V26" i="37"/>
  <c r="W81" i="37"/>
  <c r="W67" i="37"/>
  <c r="L92" i="37"/>
  <c r="W73" i="37"/>
  <c r="K92" i="37"/>
  <c r="I35" i="37"/>
  <c r="W21" i="37"/>
  <c r="J92" i="37"/>
  <c r="M92" i="37"/>
  <c r="W61" i="37"/>
  <c r="I30" i="37"/>
  <c r="Q92" i="37"/>
  <c r="V13" i="37"/>
  <c r="W77" i="37"/>
  <c r="V21" i="37"/>
  <c r="I61" i="37"/>
  <c r="I73" i="37"/>
  <c r="T92" i="37"/>
  <c r="U92" i="37"/>
  <c r="V35" i="37"/>
  <c r="V81" i="37"/>
  <c r="X4" i="37"/>
  <c r="V47" i="37"/>
  <c r="I67" i="37"/>
  <c r="W47" i="37"/>
  <c r="V54" i="37"/>
  <c r="I40" i="37"/>
  <c r="W35" i="37"/>
  <c r="I21" i="37"/>
  <c r="X9" i="37"/>
  <c r="V10" i="37"/>
  <c r="T121" i="28" l="1"/>
  <c r="U121" i="28" s="1"/>
  <c r="AA113" i="28"/>
  <c r="AC113" i="28" s="1"/>
  <c r="T101" i="28"/>
  <c r="U101" i="28" s="1"/>
  <c r="T91" i="28"/>
  <c r="U91" i="28" s="1"/>
  <c r="T81" i="28"/>
  <c r="U81" i="28" s="1"/>
  <c r="T73" i="28"/>
  <c r="U73" i="28" s="1"/>
  <c r="AA72" i="28"/>
  <c r="AC72" i="28" s="1"/>
  <c r="T62" i="28"/>
  <c r="U62" i="28" s="1"/>
  <c r="AA60" i="28"/>
  <c r="AC60" i="28" s="1"/>
  <c r="AA56" i="28"/>
  <c r="AC56" i="28" s="1"/>
  <c r="T31" i="28"/>
  <c r="S128" i="28"/>
  <c r="AA128" i="28" s="1"/>
  <c r="AC128" i="28" s="1"/>
  <c r="S13" i="28"/>
  <c r="U13" i="28" s="1"/>
  <c r="V13" i="28" s="1"/>
  <c r="P138" i="28"/>
  <c r="P149" i="28"/>
  <c r="P152" i="28" s="1"/>
  <c r="S88" i="28"/>
  <c r="T88" i="28" s="1"/>
  <c r="U88" i="28" s="1"/>
  <c r="P6" i="28"/>
  <c r="S109" i="28"/>
  <c r="T109" i="28" s="1"/>
  <c r="U109" i="28" s="1"/>
  <c r="S16" i="28"/>
  <c r="S26" i="28"/>
  <c r="U26" i="28" s="1"/>
  <c r="V26" i="28" s="1"/>
  <c r="S23" i="28"/>
  <c r="S98" i="28"/>
  <c r="T98" i="28" s="1"/>
  <c r="U98" i="28" s="1"/>
  <c r="S35" i="28"/>
  <c r="T35" i="28" s="1"/>
  <c r="U35" i="28" s="1"/>
  <c r="S49" i="28"/>
  <c r="T49" i="28" s="1"/>
  <c r="U49" i="28" s="1"/>
  <c r="S40" i="28"/>
  <c r="T40" i="28" s="1"/>
  <c r="U40" i="28" s="1"/>
  <c r="S19" i="28"/>
  <c r="S39" i="28"/>
  <c r="S48" i="28"/>
  <c r="S111" i="28"/>
  <c r="S126" i="28"/>
  <c r="T126" i="28" s="1"/>
  <c r="U126" i="28" s="1"/>
  <c r="S55" i="28"/>
  <c r="T55" i="28" s="1"/>
  <c r="U55" i="28" s="1"/>
  <c r="S20" i="28"/>
  <c r="S108" i="28"/>
  <c r="T108" i="28" s="1"/>
  <c r="U108" i="28" s="1"/>
  <c r="S50" i="28"/>
  <c r="T50" i="28" s="1"/>
  <c r="U50" i="28" s="1"/>
  <c r="S67" i="28"/>
  <c r="T67" i="28" s="1"/>
  <c r="U67" i="28" s="1"/>
  <c r="X26" i="37"/>
  <c r="S41" i="28"/>
  <c r="T41" i="28" s="1"/>
  <c r="U41" i="28" s="1"/>
  <c r="S99" i="28"/>
  <c r="T99" i="28" s="1"/>
  <c r="U99" i="28" s="1"/>
  <c r="S92" i="28"/>
  <c r="T92" i="28" s="1"/>
  <c r="U92" i="28" s="1"/>
  <c r="X10" i="37"/>
  <c r="X54" i="37"/>
  <c r="S65" i="28"/>
  <c r="X77" i="37"/>
  <c r="X40" i="37"/>
  <c r="X47" i="37"/>
  <c r="X73" i="37"/>
  <c r="X35" i="37"/>
  <c r="X67" i="37"/>
  <c r="I92" i="37"/>
  <c r="I94" i="37" s="1"/>
  <c r="X81" i="37"/>
  <c r="X61" i="37"/>
  <c r="X17" i="37"/>
  <c r="T16" i="28" l="1"/>
  <c r="U16" i="28" s="1"/>
  <c r="V16" i="28" s="1"/>
  <c r="T20" i="28"/>
  <c r="U20" i="28" s="1"/>
  <c r="V20" i="28" s="1"/>
  <c r="U31" i="28"/>
  <c r="AA120" i="28"/>
  <c r="AC120" i="28" s="1"/>
  <c r="U111" i="28"/>
  <c r="AA110" i="28"/>
  <c r="AC110" i="28" s="1"/>
  <c r="AA100" i="28"/>
  <c r="AC100" i="28" s="1"/>
  <c r="AA90" i="28"/>
  <c r="AC90" i="28" s="1"/>
  <c r="AA80" i="28"/>
  <c r="AC80" i="28" s="1"/>
  <c r="T48" i="28"/>
  <c r="U48" i="28" s="1"/>
  <c r="AA47" i="28"/>
  <c r="AC47" i="28" s="1"/>
  <c r="T39" i="28"/>
  <c r="U39" i="28" s="1"/>
  <c r="AA30" i="28"/>
  <c r="AC30" i="28" s="1"/>
  <c r="U23" i="28"/>
  <c r="V23" i="28" s="1"/>
  <c r="T19" i="28"/>
  <c r="U19" i="28" s="1"/>
  <c r="V19" i="28" s="1"/>
  <c r="AA18" i="28"/>
  <c r="AC18" i="28" s="1"/>
  <c r="U128" i="28"/>
  <c r="R144" i="28"/>
  <c r="P4" i="28"/>
  <c r="S46" i="28"/>
  <c r="R150" i="28"/>
  <c r="S15" i="28"/>
  <c r="T65" i="28"/>
  <c r="U65" i="28" s="1"/>
  <c r="AA38" i="28" l="1"/>
  <c r="AC38" i="28" s="1"/>
  <c r="S150" i="28"/>
  <c r="T15" i="28"/>
  <c r="AA14" i="28"/>
  <c r="AC14" i="28" s="1"/>
  <c r="U71" i="28"/>
  <c r="V71" i="28" s="1"/>
  <c r="R143" i="28"/>
  <c r="Z24" i="33"/>
  <c r="Z25" i="33" s="1"/>
  <c r="T46" i="28"/>
  <c r="T150" i="28" s="1"/>
  <c r="S12" i="28"/>
  <c r="S149" i="28" s="1"/>
  <c r="V112" i="36"/>
  <c r="W112" i="36" s="1"/>
  <c r="U15" i="28" l="1"/>
  <c r="V15" i="28" s="1"/>
  <c r="T149" i="28"/>
  <c r="T134" i="28"/>
  <c r="AA11" i="28"/>
  <c r="AC11" i="28" s="1"/>
  <c r="Z24" i="39"/>
  <c r="Z25" i="39" s="1"/>
  <c r="Z24" i="40"/>
  <c r="Z25" i="40" s="1"/>
  <c r="U46" i="28"/>
  <c r="T102" i="29"/>
  <c r="T104" i="29" s="1"/>
  <c r="Z24" i="38"/>
  <c r="Z25" i="38" s="1"/>
  <c r="Z24" i="35"/>
  <c r="Z25" i="35" s="1"/>
  <c r="Z24" i="18"/>
  <c r="Z25" i="18" s="1"/>
  <c r="Z24" i="37"/>
  <c r="Z25" i="37" s="1"/>
  <c r="Z24" i="36"/>
  <c r="Z25" i="36" s="1"/>
  <c r="Z24" i="34"/>
  <c r="Z25" i="34" s="1"/>
  <c r="V112" i="34"/>
  <c r="W112" i="34" s="1"/>
  <c r="V112" i="18"/>
  <c r="W112" i="18" s="1"/>
  <c r="T138" i="28" l="1"/>
  <c r="T140" i="28" s="1"/>
  <c r="U150" i="28"/>
  <c r="V150" i="28"/>
  <c r="U12" i="28"/>
  <c r="V12" i="28" s="1"/>
  <c r="W3" i="33" l="1"/>
  <c r="K91" i="33"/>
  <c r="K98" i="33" s="1"/>
  <c r="K105" i="33" s="1"/>
  <c r="K112" i="33" s="1"/>
  <c r="V112" i="33" l="1"/>
  <c r="K109" i="33"/>
  <c r="V109" i="33" s="1"/>
  <c r="AA3" i="33"/>
  <c r="AB3" i="33" s="1"/>
  <c r="V91" i="33"/>
  <c r="K88" i="33"/>
  <c r="V88" i="33" s="1"/>
  <c r="W6" i="33"/>
  <c r="V105" i="33"/>
  <c r="K102" i="33"/>
  <c r="V102" i="33" s="1"/>
  <c r="K95" i="33"/>
  <c r="V95" i="33" s="1"/>
  <c r="V98" i="33"/>
  <c r="R6" i="28" l="1"/>
  <c r="R138" i="28"/>
  <c r="R140" i="28" s="1"/>
  <c r="R149" i="28"/>
  <c r="R152" i="28" s="1"/>
  <c r="R5" i="28"/>
  <c r="R145" i="28"/>
  <c r="R146" i="28" s="1"/>
  <c r="AC8" i="28" l="1"/>
  <c r="S5" i="28"/>
  <c r="U10" i="28" l="1"/>
  <c r="V10" i="28" s="1"/>
  <c r="R4" i="28"/>
  <c r="U102" i="29" s="1"/>
  <c r="U104" i="29" s="1"/>
  <c r="U149" i="28" l="1"/>
  <c r="V149" i="28" l="1"/>
  <c r="AA65" i="28"/>
  <c r="I30" i="39"/>
  <c r="AB65" i="28" l="1"/>
  <c r="AC65" i="28" s="1"/>
  <c r="W17" i="39" l="1"/>
  <c r="W21" i="39" s="1"/>
  <c r="X17" i="39" s="1"/>
  <c r="I17" i="39"/>
  <c r="K90" i="39"/>
  <c r="V90" i="39" s="1"/>
  <c r="I16" i="39" l="1"/>
  <c r="AB22" i="28" s="1"/>
  <c r="S29" i="28"/>
  <c r="S134" i="28" s="1"/>
  <c r="S138" i="28" s="1"/>
  <c r="K97" i="39"/>
  <c r="K88" i="39"/>
  <c r="V88" i="39" l="1"/>
  <c r="S139" i="28" s="1"/>
  <c r="S140" i="28" s="1"/>
  <c r="I94" i="18"/>
  <c r="S151" i="28"/>
  <c r="S152" i="28" s="1"/>
  <c r="AA22" i="28"/>
  <c r="AC22" i="28" s="1"/>
  <c r="K104" i="39"/>
  <c r="K95" i="39"/>
  <c r="V95" i="39" s="1"/>
  <c r="V97" i="39"/>
  <c r="I92" i="36" l="1"/>
  <c r="I94" i="36"/>
  <c r="I94" i="34"/>
  <c r="I95" i="37"/>
  <c r="I92" i="34"/>
  <c r="I92" i="18"/>
  <c r="I95" i="38"/>
  <c r="S6" i="28"/>
  <c r="U29" i="28"/>
  <c r="T152" i="28"/>
  <c r="T6" i="28"/>
  <c r="T4" i="28" s="1"/>
  <c r="K102" i="39"/>
  <c r="V102" i="39" s="1"/>
  <c r="K111" i="39"/>
  <c r="V104" i="39"/>
  <c r="U151" i="28" l="1"/>
  <c r="V29" i="28"/>
  <c r="U152" i="28"/>
  <c r="U134" i="28"/>
  <c r="S4" i="28"/>
  <c r="V102" i="29" s="1"/>
  <c r="V104" i="29" s="1"/>
  <c r="V111" i="39"/>
  <c r="K109" i="39"/>
  <c r="V109" i="39" s="1"/>
  <c r="V151" i="28" l="1"/>
  <c r="V152" i="28" s="1"/>
  <c r="V134" i="28"/>
  <c r="V138" i="28" s="1"/>
  <c r="V140" i="28" s="1"/>
  <c r="U138" i="28"/>
  <c r="U140" i="28" s="1"/>
  <c r="U6" i="28"/>
  <c r="U4" i="28" l="1"/>
  <c r="V6" i="28"/>
  <c r="V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Renier Hansen</author>
    <author>user</author>
    <author>Zoe Williams</author>
  </authors>
  <commentList>
    <comment ref="C4" authorId="0" shapeId="0" xr:uid="{00000000-0006-0000-0200-000001000000}">
      <text>
        <r>
          <rPr>
            <b/>
            <sz val="9"/>
            <color indexed="81"/>
            <rFont val="Tahoma"/>
            <family val="2"/>
          </rPr>
          <t>Renier Hansen:</t>
        </r>
        <r>
          <rPr>
            <sz val="9"/>
            <color indexed="81"/>
            <rFont val="Tahoma"/>
            <family val="2"/>
          </rPr>
          <t xml:space="preserve">
INCLUDES FBE, CAN BE EDITED IN BELOW HIDDEN ROWS</t>
        </r>
      </text>
    </comment>
    <comment ref="A60" authorId="1" shapeId="0" xr:uid="{00000000-0006-0000-0200-000002000000}">
      <text>
        <r>
          <rPr>
            <b/>
            <sz val="9"/>
            <color indexed="81"/>
            <rFont val="Tahoma"/>
            <family val="2"/>
          </rPr>
          <t>user:</t>
        </r>
        <r>
          <rPr>
            <sz val="9"/>
            <color indexed="81"/>
            <rFont val="Tahoma"/>
            <family val="2"/>
          </rPr>
          <t xml:space="preserve">
Changed from ELH003 to ELO003</t>
        </r>
      </text>
    </comment>
    <comment ref="A74" authorId="1" shapeId="0" xr:uid="{00000000-0006-0000-0200-000003000000}">
      <text>
        <r>
          <rPr>
            <b/>
            <sz val="9"/>
            <color indexed="81"/>
            <rFont val="Tahoma"/>
            <family val="2"/>
          </rPr>
          <t>user:</t>
        </r>
        <r>
          <rPr>
            <sz val="9"/>
            <color indexed="81"/>
            <rFont val="Tahoma"/>
            <family val="2"/>
          </rPr>
          <t xml:space="preserve">
Changed from MLP001 to MSP01 in accordance with BP091 Tariff schedule</t>
        </r>
      </text>
    </comment>
    <comment ref="A75" authorId="1" shapeId="0" xr:uid="{00000000-0006-0000-0200-000004000000}">
      <text>
        <r>
          <rPr>
            <b/>
            <sz val="9"/>
            <color indexed="81"/>
            <rFont val="Tahoma"/>
            <family val="2"/>
          </rPr>
          <t>user:</t>
        </r>
        <r>
          <rPr>
            <sz val="9"/>
            <color indexed="81"/>
            <rFont val="Tahoma"/>
            <family val="2"/>
          </rPr>
          <t xml:space="preserve">
Changed from MLS001 to MSS01 in accordance with BP091 Tariff schedule</t>
        </r>
      </text>
    </comment>
    <comment ref="A76" authorId="1" shapeId="0" xr:uid="{00000000-0006-0000-0200-000005000000}">
      <text>
        <r>
          <rPr>
            <b/>
            <sz val="9"/>
            <color indexed="81"/>
            <rFont val="Tahoma"/>
            <family val="2"/>
          </rPr>
          <t>user:</t>
        </r>
        <r>
          <rPr>
            <sz val="9"/>
            <color indexed="81"/>
            <rFont val="Tahoma"/>
            <family val="2"/>
          </rPr>
          <t xml:space="preserve">
Changed from MLO001 to MSO01 in accordance with BP091 Tariff schedule</t>
        </r>
      </text>
    </comment>
    <comment ref="A92" authorId="2" shapeId="0" xr:uid="{00000000-0006-0000-0200-000006000000}">
      <text>
        <r>
          <rPr>
            <b/>
            <sz val="9"/>
            <color indexed="81"/>
            <rFont val="Tahoma"/>
            <family val="2"/>
          </rPr>
          <t>Zoe Williams:</t>
        </r>
        <r>
          <rPr>
            <sz val="9"/>
            <color indexed="81"/>
            <rFont val="Tahoma"/>
            <family val="2"/>
          </rPr>
          <t xml:space="preserve">
Name changed</t>
        </r>
      </text>
    </comment>
    <comment ref="A93" authorId="2" shapeId="0" xr:uid="{00000000-0006-0000-0200-000007000000}">
      <text>
        <r>
          <rPr>
            <b/>
            <sz val="9"/>
            <color indexed="81"/>
            <rFont val="Tahoma"/>
            <family val="2"/>
          </rPr>
          <t>Zoe Williams:</t>
        </r>
        <r>
          <rPr>
            <sz val="9"/>
            <color indexed="81"/>
            <rFont val="Tahoma"/>
            <family val="2"/>
          </rPr>
          <t xml:space="preserve">
Name changed</t>
        </r>
      </text>
    </comment>
    <comment ref="A94" authorId="2" shapeId="0" xr:uid="{00000000-0006-0000-0200-000008000000}">
      <text>
        <r>
          <rPr>
            <b/>
            <sz val="9"/>
            <color indexed="81"/>
            <rFont val="Tahoma"/>
            <family val="2"/>
          </rPr>
          <t>Zoe Williams:</t>
        </r>
        <r>
          <rPr>
            <sz val="9"/>
            <color indexed="81"/>
            <rFont val="Tahoma"/>
            <family val="2"/>
          </rPr>
          <t xml:space="preserve">
Name changed</t>
        </r>
      </text>
    </comment>
    <comment ref="A95" authorId="2" shapeId="0" xr:uid="{00000000-0006-0000-0200-000009000000}">
      <text>
        <r>
          <rPr>
            <b/>
            <sz val="9"/>
            <color indexed="81"/>
            <rFont val="Tahoma"/>
            <family val="2"/>
          </rPr>
          <t>Zoe Williams:</t>
        </r>
        <r>
          <rPr>
            <sz val="9"/>
            <color indexed="81"/>
            <rFont val="Tahoma"/>
            <family val="2"/>
          </rPr>
          <t xml:space="preserve">
Name changed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EC7C9B1C-34D1-4245-8C64-F077C786CA51}">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00C24F4B-5793-4300-A471-494BB762472C}">
      <text>
        <r>
          <rPr>
            <b/>
            <sz val="9"/>
            <color indexed="81"/>
            <rFont val="Tahoma"/>
            <family val="2"/>
          </rPr>
          <t>user:</t>
        </r>
        <r>
          <rPr>
            <sz val="9"/>
            <color indexed="81"/>
            <rFont val="Tahoma"/>
            <family val="2"/>
          </rPr>
          <t xml:space="preserve">
Inelsm01 changed to Inelsm according to tariff structure per system</t>
        </r>
      </text>
    </comment>
    <comment ref="A64" authorId="0" shapeId="0" xr:uid="{9E5B2685-7ADC-4C8E-A934-DE4E067B1DA9}">
      <text>
        <r>
          <rPr>
            <b/>
            <sz val="9"/>
            <color indexed="81"/>
            <rFont val="Tahoma"/>
            <family val="2"/>
          </rPr>
          <t>user:</t>
        </r>
        <r>
          <rPr>
            <sz val="9"/>
            <color indexed="81"/>
            <rFont val="Tahoma"/>
            <family val="2"/>
          </rPr>
          <t xml:space="preserve">
Changed from ELH003 to ELO003</t>
        </r>
      </text>
    </comment>
    <comment ref="A78" authorId="0" shapeId="0" xr:uid="{D81B9EE0-3D80-4477-8DB0-F67AC725DAB1}">
      <text>
        <r>
          <rPr>
            <b/>
            <sz val="9"/>
            <color indexed="81"/>
            <rFont val="Tahoma"/>
            <family val="2"/>
          </rPr>
          <t>user:</t>
        </r>
        <r>
          <rPr>
            <sz val="9"/>
            <color indexed="81"/>
            <rFont val="Tahoma"/>
            <family val="2"/>
          </rPr>
          <t xml:space="preserve">
Changed from MLP001 to MSP01 in accordance with BP091 Tariff schedule</t>
        </r>
      </text>
    </comment>
    <comment ref="A79" authorId="0" shapeId="0" xr:uid="{7428E063-534F-471E-B112-0A5924F0F10A}">
      <text>
        <r>
          <rPr>
            <b/>
            <sz val="9"/>
            <color indexed="81"/>
            <rFont val="Tahoma"/>
            <family val="2"/>
          </rPr>
          <t>user:</t>
        </r>
        <r>
          <rPr>
            <sz val="9"/>
            <color indexed="81"/>
            <rFont val="Tahoma"/>
            <family val="2"/>
          </rPr>
          <t xml:space="preserve">
Changed from MLS001 to MSS01 in accordance with BP091 Tariff schedule</t>
        </r>
      </text>
    </comment>
    <comment ref="A80" authorId="0" shapeId="0" xr:uid="{57C8B77D-59D3-43B1-9FE6-7831373755DE}">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97EE123E-71CD-4D5D-8484-C1FC7A536DA1}">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BA704DB2-ACAC-4364-9AA3-9488FA6F5293}">
      <text>
        <r>
          <rPr>
            <b/>
            <sz val="9"/>
            <color indexed="81"/>
            <rFont val="Tahoma"/>
            <family val="2"/>
          </rPr>
          <t>user:</t>
        </r>
        <r>
          <rPr>
            <sz val="9"/>
            <color indexed="81"/>
            <rFont val="Tahoma"/>
            <family val="2"/>
          </rPr>
          <t xml:space="preserve">
Inelsm01 changed to Inelsm according to tariff structure per system</t>
        </r>
      </text>
    </comment>
    <comment ref="A60" authorId="0" shapeId="0" xr:uid="{00944EA7-395F-493A-B933-8D6094F427F3}">
      <text>
        <r>
          <rPr>
            <b/>
            <sz val="9"/>
            <color indexed="81"/>
            <rFont val="Tahoma"/>
            <family val="2"/>
          </rPr>
          <t>user:</t>
        </r>
        <r>
          <rPr>
            <sz val="9"/>
            <color indexed="81"/>
            <rFont val="Tahoma"/>
            <family val="2"/>
          </rPr>
          <t xml:space="preserve">
Changed from ELH003 to ELO003</t>
        </r>
      </text>
    </comment>
    <comment ref="A74" authorId="0" shapeId="0" xr:uid="{F2072C51-F00D-41BB-BCE0-CE3474780F0C}">
      <text>
        <r>
          <rPr>
            <b/>
            <sz val="9"/>
            <color indexed="81"/>
            <rFont val="Tahoma"/>
            <family val="2"/>
          </rPr>
          <t>user:</t>
        </r>
        <r>
          <rPr>
            <sz val="9"/>
            <color indexed="81"/>
            <rFont val="Tahoma"/>
            <family val="2"/>
          </rPr>
          <t xml:space="preserve">
Changed from MLP001 to MSP01 in accordance with BP091 Tariff schedule</t>
        </r>
      </text>
    </comment>
    <comment ref="A75" authorId="0" shapeId="0" xr:uid="{B1CFEEA4-29F6-42E4-A3C3-E3B677EB489B}">
      <text>
        <r>
          <rPr>
            <b/>
            <sz val="9"/>
            <color indexed="81"/>
            <rFont val="Tahoma"/>
            <family val="2"/>
          </rPr>
          <t>user:</t>
        </r>
        <r>
          <rPr>
            <sz val="9"/>
            <color indexed="81"/>
            <rFont val="Tahoma"/>
            <family val="2"/>
          </rPr>
          <t xml:space="preserve">
Changed from MLS001 to MSS01 in accordance with BP091 Tariff schedule</t>
        </r>
      </text>
    </comment>
    <comment ref="A76" authorId="0" shapeId="0" xr:uid="{DAD68FC2-652A-4355-BC17-EBE1FC9ED43B}">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Zoe Williams</author>
  </authors>
  <commentList>
    <comment ref="A5" authorId="0" shapeId="0" xr:uid="{00000000-0006-0000-0F00-000001000000}">
      <text>
        <r>
          <rPr>
            <b/>
            <sz val="9"/>
            <color indexed="81"/>
            <rFont val="Tahoma"/>
            <family val="2"/>
          </rPr>
          <t>Zoe Williams:</t>
        </r>
        <r>
          <rPr>
            <sz val="9"/>
            <color indexed="81"/>
            <rFont val="Tahoma"/>
            <family val="2"/>
          </rPr>
          <t xml:space="preserve">
Name changed</t>
        </r>
      </text>
    </comment>
    <comment ref="A6" authorId="0" shapeId="0" xr:uid="{00000000-0006-0000-0F00-000002000000}">
      <text>
        <r>
          <rPr>
            <b/>
            <sz val="9"/>
            <color indexed="81"/>
            <rFont val="Tahoma"/>
            <family val="2"/>
          </rPr>
          <t>Zoe Williams:</t>
        </r>
        <r>
          <rPr>
            <sz val="9"/>
            <color indexed="81"/>
            <rFont val="Tahoma"/>
            <family val="2"/>
          </rPr>
          <t xml:space="preserve">
Name changed</t>
        </r>
      </text>
    </comment>
    <comment ref="A7" authorId="0" shapeId="0" xr:uid="{00000000-0006-0000-0F00-000003000000}">
      <text>
        <r>
          <rPr>
            <b/>
            <sz val="9"/>
            <color indexed="81"/>
            <rFont val="Tahoma"/>
            <family val="2"/>
          </rPr>
          <t>Zoe Williams:</t>
        </r>
        <r>
          <rPr>
            <sz val="9"/>
            <color indexed="81"/>
            <rFont val="Tahoma"/>
            <family val="2"/>
          </rPr>
          <t xml:space="preserve">
Name changed</t>
        </r>
      </text>
    </comment>
    <comment ref="A8" authorId="0" shapeId="0" xr:uid="{00000000-0006-0000-0F00-000004000000}">
      <text>
        <r>
          <rPr>
            <b/>
            <sz val="9"/>
            <color indexed="81"/>
            <rFont val="Tahoma"/>
            <family val="2"/>
          </rPr>
          <t>Zoe Williams:</t>
        </r>
        <r>
          <rPr>
            <sz val="9"/>
            <color indexed="81"/>
            <rFont val="Tahoma"/>
            <family val="2"/>
          </rPr>
          <t xml:space="preserve">
Name changed</t>
        </r>
      </text>
    </comment>
    <comment ref="A20" authorId="0" shapeId="0" xr:uid="{00000000-0006-0000-0F00-000005000000}">
      <text>
        <r>
          <rPr>
            <b/>
            <sz val="9"/>
            <color indexed="81"/>
            <rFont val="Tahoma"/>
            <family val="2"/>
          </rPr>
          <t>Zoe Williams:</t>
        </r>
        <r>
          <rPr>
            <sz val="9"/>
            <color indexed="81"/>
            <rFont val="Tahoma"/>
            <family val="2"/>
          </rPr>
          <t xml:space="preserve">
Name changed</t>
        </r>
      </text>
    </comment>
    <comment ref="A21" authorId="0" shapeId="0" xr:uid="{00000000-0006-0000-0F00-000006000000}">
      <text>
        <r>
          <rPr>
            <b/>
            <sz val="9"/>
            <color indexed="81"/>
            <rFont val="Tahoma"/>
            <family val="2"/>
          </rPr>
          <t>Zoe Williams:</t>
        </r>
        <r>
          <rPr>
            <sz val="9"/>
            <color indexed="81"/>
            <rFont val="Tahoma"/>
            <family val="2"/>
          </rPr>
          <t xml:space="preserve">
Name changed</t>
        </r>
      </text>
    </comment>
    <comment ref="A22" authorId="0" shapeId="0" xr:uid="{00000000-0006-0000-0F00-000007000000}">
      <text>
        <r>
          <rPr>
            <b/>
            <sz val="9"/>
            <color indexed="81"/>
            <rFont val="Tahoma"/>
            <family val="2"/>
          </rPr>
          <t>Zoe Williams:</t>
        </r>
        <r>
          <rPr>
            <sz val="9"/>
            <color indexed="81"/>
            <rFont val="Tahoma"/>
            <family val="2"/>
          </rPr>
          <t xml:space="preserve">
Name changed</t>
        </r>
      </text>
    </comment>
    <comment ref="A23" authorId="0" shapeId="0" xr:uid="{00000000-0006-0000-0F00-000008000000}">
      <text>
        <r>
          <rPr>
            <b/>
            <sz val="9"/>
            <color indexed="81"/>
            <rFont val="Tahoma"/>
            <family val="2"/>
          </rPr>
          <t>Zoe Williams:</t>
        </r>
        <r>
          <rPr>
            <sz val="9"/>
            <color indexed="81"/>
            <rFont val="Tahoma"/>
            <family val="2"/>
          </rPr>
          <t xml:space="preserve">
Name changed</t>
        </r>
      </text>
    </comment>
    <comment ref="A33" authorId="0" shapeId="0" xr:uid="{00000000-0006-0000-0F00-000009000000}">
      <text>
        <r>
          <rPr>
            <b/>
            <sz val="9"/>
            <color indexed="81"/>
            <rFont val="Tahoma"/>
            <family val="2"/>
          </rPr>
          <t>Zoe Williams:</t>
        </r>
        <r>
          <rPr>
            <sz val="9"/>
            <color indexed="81"/>
            <rFont val="Tahoma"/>
            <family val="2"/>
          </rPr>
          <t xml:space="preserve">
Name changed</t>
        </r>
      </text>
    </comment>
    <comment ref="A34" authorId="0" shapeId="0" xr:uid="{00000000-0006-0000-0F00-00000A000000}">
      <text>
        <r>
          <rPr>
            <b/>
            <sz val="9"/>
            <color indexed="81"/>
            <rFont val="Tahoma"/>
            <family val="2"/>
          </rPr>
          <t>Zoe Williams:</t>
        </r>
        <r>
          <rPr>
            <sz val="9"/>
            <color indexed="81"/>
            <rFont val="Tahoma"/>
            <family val="2"/>
          </rPr>
          <t xml:space="preserve">
Name changed</t>
        </r>
      </text>
    </comment>
    <comment ref="A35" authorId="0" shapeId="0" xr:uid="{00000000-0006-0000-0F00-00000B000000}">
      <text>
        <r>
          <rPr>
            <b/>
            <sz val="9"/>
            <color indexed="81"/>
            <rFont val="Tahoma"/>
            <family val="2"/>
          </rPr>
          <t>Zoe Williams:</t>
        </r>
        <r>
          <rPr>
            <sz val="9"/>
            <color indexed="81"/>
            <rFont val="Tahoma"/>
            <family val="2"/>
          </rPr>
          <t xml:space="preserve">
Name changed</t>
        </r>
      </text>
    </comment>
    <comment ref="A36" authorId="0" shapeId="0" xr:uid="{00000000-0006-0000-0F00-00000C000000}">
      <text>
        <r>
          <rPr>
            <b/>
            <sz val="9"/>
            <color indexed="81"/>
            <rFont val="Tahoma"/>
            <family val="2"/>
          </rPr>
          <t>Zoe Williams:</t>
        </r>
        <r>
          <rPr>
            <sz val="9"/>
            <color indexed="81"/>
            <rFont val="Tahoma"/>
            <family val="2"/>
          </rPr>
          <t xml:space="preserve">
Name changed</t>
        </r>
      </text>
    </comment>
    <comment ref="A45" authorId="0" shapeId="0" xr:uid="{00000000-0006-0000-0F00-00000D000000}">
      <text>
        <r>
          <rPr>
            <b/>
            <sz val="9"/>
            <color indexed="81"/>
            <rFont val="Tahoma"/>
            <family val="2"/>
          </rPr>
          <t>Zoe Williams:</t>
        </r>
        <r>
          <rPr>
            <sz val="9"/>
            <color indexed="81"/>
            <rFont val="Tahoma"/>
            <family val="2"/>
          </rPr>
          <t xml:space="preserve">
Name changed</t>
        </r>
      </text>
    </comment>
    <comment ref="A46" authorId="0" shapeId="0" xr:uid="{00000000-0006-0000-0F00-00000E000000}">
      <text>
        <r>
          <rPr>
            <b/>
            <sz val="9"/>
            <color indexed="81"/>
            <rFont val="Tahoma"/>
            <family val="2"/>
          </rPr>
          <t>Zoe Williams:</t>
        </r>
        <r>
          <rPr>
            <sz val="9"/>
            <color indexed="81"/>
            <rFont val="Tahoma"/>
            <family val="2"/>
          </rPr>
          <t xml:space="preserve">
Name changed</t>
        </r>
      </text>
    </comment>
    <comment ref="A47" authorId="0" shapeId="0" xr:uid="{00000000-0006-0000-0F00-00000F000000}">
      <text>
        <r>
          <rPr>
            <b/>
            <sz val="9"/>
            <color indexed="81"/>
            <rFont val="Tahoma"/>
            <family val="2"/>
          </rPr>
          <t>Zoe Williams:</t>
        </r>
        <r>
          <rPr>
            <sz val="9"/>
            <color indexed="81"/>
            <rFont val="Tahoma"/>
            <family val="2"/>
          </rPr>
          <t xml:space="preserve">
Name changed</t>
        </r>
      </text>
    </comment>
    <comment ref="A48" authorId="0" shapeId="0" xr:uid="{00000000-0006-0000-0F00-000010000000}">
      <text>
        <r>
          <rPr>
            <b/>
            <sz val="9"/>
            <color indexed="81"/>
            <rFont val="Tahoma"/>
            <family val="2"/>
          </rPr>
          <t>Zoe Williams:</t>
        </r>
        <r>
          <rPr>
            <sz val="9"/>
            <color indexed="81"/>
            <rFont val="Tahoma"/>
            <family val="2"/>
          </rPr>
          <t xml:space="preserve">
Name changed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Zoe Williams</author>
  </authors>
  <commentList>
    <comment ref="A7" authorId="0" shapeId="0" xr:uid="{00000000-0006-0000-1000-000001000000}">
      <text>
        <r>
          <rPr>
            <b/>
            <sz val="9"/>
            <color indexed="81"/>
            <rFont val="Tahoma"/>
            <family val="2"/>
          </rPr>
          <t>user:</t>
        </r>
        <r>
          <rPr>
            <sz val="9"/>
            <color indexed="81"/>
            <rFont val="Tahoma"/>
            <family val="2"/>
          </rPr>
          <t xml:space="preserve">
Inelsm01 changed to Inelsm according to tariff structure per system</t>
        </r>
      </text>
    </comment>
    <comment ref="A56" authorId="0" shapeId="0" xr:uid="{00000000-0006-0000-1000-000002000000}">
      <text>
        <r>
          <rPr>
            <b/>
            <sz val="9"/>
            <color indexed="81"/>
            <rFont val="Tahoma"/>
            <family val="2"/>
          </rPr>
          <t>user:</t>
        </r>
        <r>
          <rPr>
            <sz val="9"/>
            <color indexed="81"/>
            <rFont val="Tahoma"/>
            <family val="2"/>
          </rPr>
          <t xml:space="preserve">
Changed from ELH003 to ELO003</t>
        </r>
      </text>
    </comment>
    <comment ref="A70" authorId="0" shapeId="0" xr:uid="{00000000-0006-0000-1000-000003000000}">
      <text>
        <r>
          <rPr>
            <b/>
            <sz val="9"/>
            <color indexed="81"/>
            <rFont val="Tahoma"/>
            <family val="2"/>
          </rPr>
          <t>user:</t>
        </r>
        <r>
          <rPr>
            <sz val="9"/>
            <color indexed="81"/>
            <rFont val="Tahoma"/>
            <family val="2"/>
          </rPr>
          <t xml:space="preserve">
Changed from MLP001 to MSP01 in accordance with BP091 Tariff schedule</t>
        </r>
      </text>
    </comment>
    <comment ref="A71" authorId="0" shapeId="0" xr:uid="{00000000-0006-0000-1000-000004000000}">
      <text>
        <r>
          <rPr>
            <b/>
            <sz val="9"/>
            <color indexed="81"/>
            <rFont val="Tahoma"/>
            <family val="2"/>
          </rPr>
          <t>user:</t>
        </r>
        <r>
          <rPr>
            <sz val="9"/>
            <color indexed="81"/>
            <rFont val="Tahoma"/>
            <family val="2"/>
          </rPr>
          <t xml:space="preserve">
Changed from MLS001 to MSS01 in accordance with BP091 Tariff schedule</t>
        </r>
      </text>
    </comment>
    <comment ref="A72" authorId="0" shapeId="0" xr:uid="{00000000-0006-0000-1000-000005000000}">
      <text>
        <r>
          <rPr>
            <b/>
            <sz val="9"/>
            <color indexed="81"/>
            <rFont val="Tahoma"/>
            <family val="2"/>
          </rPr>
          <t>user:</t>
        </r>
        <r>
          <rPr>
            <sz val="9"/>
            <color indexed="81"/>
            <rFont val="Tahoma"/>
            <family val="2"/>
          </rPr>
          <t xml:space="preserve">
Changed from MLO001 to MSO01 in accordance with BP091 Tariff schedule</t>
        </r>
      </text>
    </comment>
    <comment ref="AF83" authorId="1" shapeId="0" xr:uid="{00000000-0006-0000-1000-000006000000}">
      <text>
        <r>
          <rPr>
            <b/>
            <sz val="9"/>
            <color indexed="81"/>
            <rFont val="Tahoma"/>
            <family val="2"/>
          </rPr>
          <t>Zoe Williams:</t>
        </r>
        <r>
          <rPr>
            <sz val="9"/>
            <color indexed="81"/>
            <rFont val="Tahoma"/>
            <family val="2"/>
          </rPr>
          <t xml:space="preserve">
Name changed</t>
        </r>
      </text>
    </comment>
    <comment ref="AF84" authorId="1" shapeId="0" xr:uid="{00000000-0006-0000-1000-000007000000}">
      <text>
        <r>
          <rPr>
            <b/>
            <sz val="9"/>
            <color indexed="81"/>
            <rFont val="Tahoma"/>
            <family val="2"/>
          </rPr>
          <t>Zoe Williams:</t>
        </r>
        <r>
          <rPr>
            <sz val="9"/>
            <color indexed="81"/>
            <rFont val="Tahoma"/>
            <family val="2"/>
          </rPr>
          <t xml:space="preserve">
Name changed</t>
        </r>
      </text>
    </comment>
    <comment ref="AF85" authorId="1" shapeId="0" xr:uid="{00000000-0006-0000-1000-000008000000}">
      <text>
        <r>
          <rPr>
            <b/>
            <sz val="9"/>
            <color indexed="81"/>
            <rFont val="Tahoma"/>
            <family val="2"/>
          </rPr>
          <t>Zoe Williams:</t>
        </r>
        <r>
          <rPr>
            <sz val="9"/>
            <color indexed="81"/>
            <rFont val="Tahoma"/>
            <family val="2"/>
          </rPr>
          <t xml:space="preserve">
Name changed</t>
        </r>
      </text>
    </comment>
    <comment ref="AF86" authorId="1" shapeId="0" xr:uid="{00000000-0006-0000-1000-000009000000}">
      <text>
        <r>
          <rPr>
            <b/>
            <sz val="9"/>
            <color indexed="81"/>
            <rFont val="Tahoma"/>
            <family val="2"/>
          </rPr>
          <t>Zoe Williams:</t>
        </r>
        <r>
          <rPr>
            <sz val="9"/>
            <color indexed="81"/>
            <rFont val="Tahoma"/>
            <family val="2"/>
          </rPr>
          <t xml:space="preserve">
Name changed</t>
        </r>
      </text>
    </comment>
    <comment ref="A91" authorId="1" shapeId="0" xr:uid="{00000000-0006-0000-1000-00000A000000}">
      <text>
        <r>
          <rPr>
            <b/>
            <sz val="9"/>
            <color indexed="81"/>
            <rFont val="Tahoma"/>
            <family val="2"/>
          </rPr>
          <t>Zoe Williams:</t>
        </r>
        <r>
          <rPr>
            <sz val="9"/>
            <color indexed="81"/>
            <rFont val="Tahoma"/>
            <family val="2"/>
          </rPr>
          <t xml:space="preserve">
Name changed</t>
        </r>
      </text>
    </comment>
    <comment ref="A92" authorId="1" shapeId="0" xr:uid="{00000000-0006-0000-1000-00000B000000}">
      <text>
        <r>
          <rPr>
            <b/>
            <sz val="9"/>
            <color indexed="81"/>
            <rFont val="Tahoma"/>
            <family val="2"/>
          </rPr>
          <t>Zoe Williams:</t>
        </r>
        <r>
          <rPr>
            <sz val="9"/>
            <color indexed="81"/>
            <rFont val="Tahoma"/>
            <family val="2"/>
          </rPr>
          <t xml:space="preserve">
Name changed</t>
        </r>
      </text>
    </comment>
    <comment ref="A93" authorId="1" shapeId="0" xr:uid="{00000000-0006-0000-1000-00000C000000}">
      <text>
        <r>
          <rPr>
            <b/>
            <sz val="9"/>
            <color indexed="81"/>
            <rFont val="Tahoma"/>
            <family val="2"/>
          </rPr>
          <t>Zoe Williams:</t>
        </r>
        <r>
          <rPr>
            <sz val="9"/>
            <color indexed="81"/>
            <rFont val="Tahoma"/>
            <family val="2"/>
          </rPr>
          <t xml:space="preserve">
Name changed</t>
        </r>
      </text>
    </comment>
    <comment ref="A94" authorId="1" shapeId="0" xr:uid="{00000000-0006-0000-1000-00000D000000}">
      <text>
        <r>
          <rPr>
            <b/>
            <sz val="9"/>
            <color indexed="81"/>
            <rFont val="Tahoma"/>
            <family val="2"/>
          </rPr>
          <t>Zoe Williams:</t>
        </r>
        <r>
          <rPr>
            <sz val="9"/>
            <color indexed="81"/>
            <rFont val="Tahoma"/>
            <family val="2"/>
          </rPr>
          <t xml:space="preserve">
Name changed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00000000-0006-0000-0600-000001000000}">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00000000-0006-0000-0600-000002000000}">
      <text>
        <r>
          <rPr>
            <b/>
            <sz val="9"/>
            <color indexed="81"/>
            <rFont val="Tahoma"/>
            <family val="2"/>
          </rPr>
          <t>user:</t>
        </r>
        <r>
          <rPr>
            <sz val="9"/>
            <color indexed="81"/>
            <rFont val="Tahoma"/>
            <family val="2"/>
          </rPr>
          <t xml:space="preserve">
Inelsm01 changed to Inelsm according to tariff structure per system</t>
        </r>
      </text>
    </comment>
    <comment ref="A60" authorId="0" shapeId="0" xr:uid="{00000000-0006-0000-0600-000003000000}">
      <text>
        <r>
          <rPr>
            <b/>
            <sz val="9"/>
            <color indexed="81"/>
            <rFont val="Tahoma"/>
            <family val="2"/>
          </rPr>
          <t>user:</t>
        </r>
        <r>
          <rPr>
            <sz val="9"/>
            <color indexed="81"/>
            <rFont val="Tahoma"/>
            <family val="2"/>
          </rPr>
          <t xml:space="preserve">
Changed from ELH003 to ELO003</t>
        </r>
      </text>
    </comment>
    <comment ref="A74" authorId="0" shapeId="0" xr:uid="{00000000-0006-0000-0600-000004000000}">
      <text>
        <r>
          <rPr>
            <b/>
            <sz val="9"/>
            <color indexed="81"/>
            <rFont val="Tahoma"/>
            <family val="2"/>
          </rPr>
          <t>user:</t>
        </r>
        <r>
          <rPr>
            <sz val="9"/>
            <color indexed="81"/>
            <rFont val="Tahoma"/>
            <family val="2"/>
          </rPr>
          <t xml:space="preserve">
Changed from MLP001 to MSP01 in accordance with BP091 Tariff schedule</t>
        </r>
      </text>
    </comment>
    <comment ref="A75" authorId="0" shapeId="0" xr:uid="{00000000-0006-0000-0600-000005000000}">
      <text>
        <r>
          <rPr>
            <b/>
            <sz val="9"/>
            <color indexed="81"/>
            <rFont val="Tahoma"/>
            <family val="2"/>
          </rPr>
          <t>user:</t>
        </r>
        <r>
          <rPr>
            <sz val="9"/>
            <color indexed="81"/>
            <rFont val="Tahoma"/>
            <family val="2"/>
          </rPr>
          <t xml:space="preserve">
Changed from MLS001 to MSS01 in accordance with BP091 Tariff schedule</t>
        </r>
      </text>
    </comment>
    <comment ref="A76" authorId="0" shapeId="0" xr:uid="{00000000-0006-0000-0600-000006000000}">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B43B69F9-515F-44FB-99E0-64EE1BED36B8}">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7527B90B-AB3C-4929-AA78-FD5DF63956D3}">
      <text>
        <r>
          <rPr>
            <b/>
            <sz val="9"/>
            <color indexed="81"/>
            <rFont val="Tahoma"/>
            <family val="2"/>
          </rPr>
          <t>user:</t>
        </r>
        <r>
          <rPr>
            <sz val="9"/>
            <color indexed="81"/>
            <rFont val="Tahoma"/>
            <family val="2"/>
          </rPr>
          <t xml:space="preserve">
Inelsm01 changed to Inelsm according to tariff structure per system</t>
        </r>
      </text>
    </comment>
    <comment ref="A60" authorId="0" shapeId="0" xr:uid="{E60B9A8B-7C2B-478B-929C-CF8433182F0D}">
      <text>
        <r>
          <rPr>
            <b/>
            <sz val="9"/>
            <color indexed="81"/>
            <rFont val="Tahoma"/>
            <family val="2"/>
          </rPr>
          <t>user:</t>
        </r>
        <r>
          <rPr>
            <sz val="9"/>
            <color indexed="81"/>
            <rFont val="Tahoma"/>
            <family val="2"/>
          </rPr>
          <t xml:space="preserve">
Changed from ELH003 to ELO003</t>
        </r>
      </text>
    </comment>
    <comment ref="A74" authorId="0" shapeId="0" xr:uid="{E875A0AD-B832-43EB-9C74-FCC57837E126}">
      <text>
        <r>
          <rPr>
            <b/>
            <sz val="9"/>
            <color indexed="81"/>
            <rFont val="Tahoma"/>
            <family val="2"/>
          </rPr>
          <t>user:</t>
        </r>
        <r>
          <rPr>
            <sz val="9"/>
            <color indexed="81"/>
            <rFont val="Tahoma"/>
            <family val="2"/>
          </rPr>
          <t xml:space="preserve">
Changed from MLP001 to MSP01 in accordance with BP091 Tariff schedule</t>
        </r>
      </text>
    </comment>
    <comment ref="A75" authorId="0" shapeId="0" xr:uid="{FD9A8E95-1D87-4BD2-8723-B09BDD41C8C0}">
      <text>
        <r>
          <rPr>
            <b/>
            <sz val="9"/>
            <color indexed="81"/>
            <rFont val="Tahoma"/>
            <family val="2"/>
          </rPr>
          <t>user:</t>
        </r>
        <r>
          <rPr>
            <sz val="9"/>
            <color indexed="81"/>
            <rFont val="Tahoma"/>
            <family val="2"/>
          </rPr>
          <t xml:space="preserve">
Changed from MLS001 to MSS01 in accordance with BP091 Tariff schedule</t>
        </r>
      </text>
    </comment>
    <comment ref="A76" authorId="0" shapeId="0" xr:uid="{865ED90F-4B91-4C7F-8AC8-74080BDAA3EB}">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0E916DE1-395F-4C48-BAA3-6B61EAAD8C9D}">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B2A3DC9A-9536-4B61-A446-8F04FED4F831}">
      <text>
        <r>
          <rPr>
            <b/>
            <sz val="9"/>
            <color indexed="81"/>
            <rFont val="Tahoma"/>
            <family val="2"/>
          </rPr>
          <t>user:</t>
        </r>
        <r>
          <rPr>
            <sz val="9"/>
            <color indexed="81"/>
            <rFont val="Tahoma"/>
            <family val="2"/>
          </rPr>
          <t xml:space="preserve">
Inelsm01 changed to Inelsm according to tariff structure per system</t>
        </r>
      </text>
    </comment>
    <comment ref="A60" authorId="0" shapeId="0" xr:uid="{7FF5BC8F-3997-4561-940C-0C053FA737A0}">
      <text>
        <r>
          <rPr>
            <b/>
            <sz val="9"/>
            <color indexed="81"/>
            <rFont val="Tahoma"/>
            <family val="2"/>
          </rPr>
          <t>user:</t>
        </r>
        <r>
          <rPr>
            <sz val="9"/>
            <color indexed="81"/>
            <rFont val="Tahoma"/>
            <family val="2"/>
          </rPr>
          <t xml:space="preserve">
Changed from ELH003 to ELO003</t>
        </r>
      </text>
    </comment>
    <comment ref="A74" authorId="0" shapeId="0" xr:uid="{C4085185-F053-4FCC-A843-3A7CC57D18F5}">
      <text>
        <r>
          <rPr>
            <b/>
            <sz val="9"/>
            <color indexed="81"/>
            <rFont val="Tahoma"/>
            <family val="2"/>
          </rPr>
          <t>user:</t>
        </r>
        <r>
          <rPr>
            <sz val="9"/>
            <color indexed="81"/>
            <rFont val="Tahoma"/>
            <family val="2"/>
          </rPr>
          <t xml:space="preserve">
Changed from MLP001 to MSP01 in accordance with BP091 Tariff schedule</t>
        </r>
      </text>
    </comment>
    <comment ref="A75" authorId="0" shapeId="0" xr:uid="{43ADC9F4-BB38-4808-BFCC-5828E60745E9}">
      <text>
        <r>
          <rPr>
            <b/>
            <sz val="9"/>
            <color indexed="81"/>
            <rFont val="Tahoma"/>
            <family val="2"/>
          </rPr>
          <t>user:</t>
        </r>
        <r>
          <rPr>
            <sz val="9"/>
            <color indexed="81"/>
            <rFont val="Tahoma"/>
            <family val="2"/>
          </rPr>
          <t xml:space="preserve">
Changed from MLS001 to MSS01 in accordance with BP091 Tariff schedule</t>
        </r>
      </text>
    </comment>
    <comment ref="A76" authorId="0" shapeId="0" xr:uid="{7A56C977-1C04-46DF-962C-874163984F31}">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A165A3DB-639D-4DEA-B524-E15322BFBE9E}">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11967CCF-1E57-403D-B8D3-1529DD3F3CAD}">
      <text>
        <r>
          <rPr>
            <b/>
            <sz val="9"/>
            <color indexed="81"/>
            <rFont val="Tahoma"/>
            <family val="2"/>
          </rPr>
          <t>user:</t>
        </r>
        <r>
          <rPr>
            <sz val="9"/>
            <color indexed="81"/>
            <rFont val="Tahoma"/>
            <family val="2"/>
          </rPr>
          <t xml:space="preserve">
Inelsm01 changed to Inelsm according to tariff structure per system</t>
        </r>
      </text>
    </comment>
    <comment ref="A60" authorId="0" shapeId="0" xr:uid="{998CFE79-AB62-4E7E-85E3-B220F4C47585}">
      <text>
        <r>
          <rPr>
            <b/>
            <sz val="9"/>
            <color indexed="81"/>
            <rFont val="Tahoma"/>
            <family val="2"/>
          </rPr>
          <t>user:</t>
        </r>
        <r>
          <rPr>
            <sz val="9"/>
            <color indexed="81"/>
            <rFont val="Tahoma"/>
            <family val="2"/>
          </rPr>
          <t xml:space="preserve">
Changed from ELH003 to ELO003</t>
        </r>
      </text>
    </comment>
    <comment ref="A74" authorId="0" shapeId="0" xr:uid="{88D4969C-3454-4257-B504-0D2E7602F4AD}">
      <text>
        <r>
          <rPr>
            <b/>
            <sz val="9"/>
            <color indexed="81"/>
            <rFont val="Tahoma"/>
            <family val="2"/>
          </rPr>
          <t>user:</t>
        </r>
        <r>
          <rPr>
            <sz val="9"/>
            <color indexed="81"/>
            <rFont val="Tahoma"/>
            <family val="2"/>
          </rPr>
          <t xml:space="preserve">
Changed from MLP001 to MSP01 in accordance with BP091 Tariff schedule</t>
        </r>
      </text>
    </comment>
    <comment ref="A75" authorId="0" shapeId="0" xr:uid="{4B767A0F-2D6E-463B-85DD-8CE8BBA591C3}">
      <text>
        <r>
          <rPr>
            <b/>
            <sz val="9"/>
            <color indexed="81"/>
            <rFont val="Tahoma"/>
            <family val="2"/>
          </rPr>
          <t>user:</t>
        </r>
        <r>
          <rPr>
            <sz val="9"/>
            <color indexed="81"/>
            <rFont val="Tahoma"/>
            <family val="2"/>
          </rPr>
          <t xml:space="preserve">
Changed from MLS001 to MSS01 in accordance with BP091 Tariff schedule</t>
        </r>
      </text>
    </comment>
    <comment ref="A76" authorId="0" shapeId="0" xr:uid="{97054C17-2409-4EA3-ACEA-EC220CDD4C88}">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B2787D4C-72F8-44F9-B90D-26CAC505E3DA}">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1FF2BC87-B5D1-419D-BC9B-EEE29CB1566C}">
      <text>
        <r>
          <rPr>
            <b/>
            <sz val="9"/>
            <color indexed="81"/>
            <rFont val="Tahoma"/>
            <family val="2"/>
          </rPr>
          <t>user:</t>
        </r>
        <r>
          <rPr>
            <sz val="9"/>
            <color indexed="81"/>
            <rFont val="Tahoma"/>
            <family val="2"/>
          </rPr>
          <t xml:space="preserve">
Inelsm01 changed to Inelsm according to tariff structure per system</t>
        </r>
      </text>
    </comment>
    <comment ref="A60" authorId="0" shapeId="0" xr:uid="{73B38F5A-29BD-41F1-B464-2413B15E58B9}">
      <text>
        <r>
          <rPr>
            <b/>
            <sz val="9"/>
            <color indexed="81"/>
            <rFont val="Tahoma"/>
            <family val="2"/>
          </rPr>
          <t>user:</t>
        </r>
        <r>
          <rPr>
            <sz val="9"/>
            <color indexed="81"/>
            <rFont val="Tahoma"/>
            <family val="2"/>
          </rPr>
          <t xml:space="preserve">
Changed from ELH003 to ELO003</t>
        </r>
      </text>
    </comment>
    <comment ref="A74" authorId="0" shapeId="0" xr:uid="{E51962CA-92B3-4F47-A3D3-A7CC2C2E9C5A}">
      <text>
        <r>
          <rPr>
            <b/>
            <sz val="9"/>
            <color indexed="81"/>
            <rFont val="Tahoma"/>
            <family val="2"/>
          </rPr>
          <t>user:</t>
        </r>
        <r>
          <rPr>
            <sz val="9"/>
            <color indexed="81"/>
            <rFont val="Tahoma"/>
            <family val="2"/>
          </rPr>
          <t xml:space="preserve">
Changed from MLP001 to MSP01 in accordance with BP091 Tariff schedule</t>
        </r>
      </text>
    </comment>
    <comment ref="A75" authorId="0" shapeId="0" xr:uid="{59550902-D96E-46C6-8CE4-D175FE96D120}">
      <text>
        <r>
          <rPr>
            <b/>
            <sz val="9"/>
            <color indexed="81"/>
            <rFont val="Tahoma"/>
            <family val="2"/>
          </rPr>
          <t>user:</t>
        </r>
        <r>
          <rPr>
            <sz val="9"/>
            <color indexed="81"/>
            <rFont val="Tahoma"/>
            <family val="2"/>
          </rPr>
          <t xml:space="preserve">
Changed from MLS001 to MSS01 in accordance with BP091 Tariff schedule</t>
        </r>
      </text>
    </comment>
    <comment ref="A76" authorId="0" shapeId="0" xr:uid="{F49B0C9B-FF3A-4CBE-B071-73E710FE2A5F}">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6282811D-40BF-49D1-819D-CA7C89EDB88D}">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7DD4116B-49E3-494E-B841-5D5E43A57003}">
      <text>
        <r>
          <rPr>
            <b/>
            <sz val="9"/>
            <color indexed="81"/>
            <rFont val="Tahoma"/>
            <family val="2"/>
          </rPr>
          <t>user:</t>
        </r>
        <r>
          <rPr>
            <sz val="9"/>
            <color indexed="81"/>
            <rFont val="Tahoma"/>
            <family val="2"/>
          </rPr>
          <t xml:space="preserve">
Inelsm01 changed to Inelsm according to tariff structure per system</t>
        </r>
      </text>
    </comment>
    <comment ref="A60" authorId="0" shapeId="0" xr:uid="{2B82B8B1-EA28-42A8-A08B-71D66ED15E42}">
      <text>
        <r>
          <rPr>
            <b/>
            <sz val="9"/>
            <color indexed="81"/>
            <rFont val="Tahoma"/>
            <family val="2"/>
          </rPr>
          <t>user:</t>
        </r>
        <r>
          <rPr>
            <sz val="9"/>
            <color indexed="81"/>
            <rFont val="Tahoma"/>
            <family val="2"/>
          </rPr>
          <t xml:space="preserve">
Changed from ELH003 to ELO003</t>
        </r>
      </text>
    </comment>
    <comment ref="A74" authorId="0" shapeId="0" xr:uid="{A620F831-1DCC-4A31-98A9-B234A0FF037B}">
      <text>
        <r>
          <rPr>
            <b/>
            <sz val="9"/>
            <color indexed="81"/>
            <rFont val="Tahoma"/>
            <family val="2"/>
          </rPr>
          <t>user:</t>
        </r>
        <r>
          <rPr>
            <sz val="9"/>
            <color indexed="81"/>
            <rFont val="Tahoma"/>
            <family val="2"/>
          </rPr>
          <t xml:space="preserve">
Changed from MLP001 to MSP01 in accordance with BP091 Tariff schedule</t>
        </r>
      </text>
    </comment>
    <comment ref="A75" authorId="0" shapeId="0" xr:uid="{4EACE33C-715F-4CAE-8B9C-A786D354DAAF}">
      <text>
        <r>
          <rPr>
            <b/>
            <sz val="9"/>
            <color indexed="81"/>
            <rFont val="Tahoma"/>
            <family val="2"/>
          </rPr>
          <t>user:</t>
        </r>
        <r>
          <rPr>
            <sz val="9"/>
            <color indexed="81"/>
            <rFont val="Tahoma"/>
            <family val="2"/>
          </rPr>
          <t xml:space="preserve">
Changed from MLS001 to MSS01 in accordance with BP091 Tariff schedule</t>
        </r>
      </text>
    </comment>
    <comment ref="A76" authorId="0" shapeId="0" xr:uid="{67A66E12-E1CD-45B0-B2DE-1DA61A0B28E0}">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D7FBC82F-A5BD-41F1-9AFE-243F962E6F34}">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24B2DD93-E3E7-49AB-A018-C26742ABF235}">
      <text>
        <r>
          <rPr>
            <b/>
            <sz val="9"/>
            <color indexed="81"/>
            <rFont val="Tahoma"/>
            <family val="2"/>
          </rPr>
          <t>user:</t>
        </r>
        <r>
          <rPr>
            <sz val="9"/>
            <color indexed="81"/>
            <rFont val="Tahoma"/>
            <family val="2"/>
          </rPr>
          <t xml:space="preserve">
Inelsm01 changed to Inelsm according to tariff structure per system</t>
        </r>
      </text>
    </comment>
    <comment ref="A60" authorId="0" shapeId="0" xr:uid="{5A6A771D-7EE2-4786-828B-BE7D5A993EDA}">
      <text>
        <r>
          <rPr>
            <b/>
            <sz val="9"/>
            <color indexed="81"/>
            <rFont val="Tahoma"/>
            <family val="2"/>
          </rPr>
          <t>user:</t>
        </r>
        <r>
          <rPr>
            <sz val="9"/>
            <color indexed="81"/>
            <rFont val="Tahoma"/>
            <family val="2"/>
          </rPr>
          <t xml:space="preserve">
Changed from ELH003 to ELO003</t>
        </r>
      </text>
    </comment>
    <comment ref="A74" authorId="0" shapeId="0" xr:uid="{1BBE394E-F426-45E4-9794-ADD969D60D58}">
      <text>
        <r>
          <rPr>
            <b/>
            <sz val="9"/>
            <color indexed="81"/>
            <rFont val="Tahoma"/>
            <family val="2"/>
          </rPr>
          <t>user:</t>
        </r>
        <r>
          <rPr>
            <sz val="9"/>
            <color indexed="81"/>
            <rFont val="Tahoma"/>
            <family val="2"/>
          </rPr>
          <t xml:space="preserve">
Changed from MLP001 to MSP01 in accordance with BP091 Tariff schedule</t>
        </r>
      </text>
    </comment>
    <comment ref="A75" authorId="0" shapeId="0" xr:uid="{C6A3A15F-A6FF-463B-9CA8-5445611300DB}">
      <text>
        <r>
          <rPr>
            <b/>
            <sz val="9"/>
            <color indexed="81"/>
            <rFont val="Tahoma"/>
            <family val="2"/>
          </rPr>
          <t>user:</t>
        </r>
        <r>
          <rPr>
            <sz val="9"/>
            <color indexed="81"/>
            <rFont val="Tahoma"/>
            <family val="2"/>
          </rPr>
          <t xml:space="preserve">
Changed from MLS001 to MSS01 in accordance with BP091 Tariff schedule</t>
        </r>
      </text>
    </comment>
    <comment ref="A76" authorId="0" shapeId="0" xr:uid="{8F8F2ADE-F6F3-4675-8591-710ECF8BD8DD}">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 authorId="0" shapeId="0" xr:uid="{D9ACFBAD-8A65-4D9F-A313-E8EA8CA3AAA1}">
      <text>
        <r>
          <rPr>
            <b/>
            <sz val="9"/>
            <color indexed="81"/>
            <rFont val="Tahoma"/>
            <family val="2"/>
          </rPr>
          <t>user:</t>
        </r>
        <r>
          <rPr>
            <sz val="9"/>
            <color indexed="81"/>
            <rFont val="Tahoma"/>
            <family val="2"/>
          </rPr>
          <t xml:space="preserve">
Inelsm01 changed to Inelsm according to tariff structure per system</t>
        </r>
      </text>
    </comment>
    <comment ref="A7" authorId="0" shapeId="0" xr:uid="{F9BFCFB7-6490-4D90-8AC8-E787C26FCA08}">
      <text>
        <r>
          <rPr>
            <b/>
            <sz val="9"/>
            <color indexed="81"/>
            <rFont val="Tahoma"/>
            <family val="2"/>
          </rPr>
          <t>user:</t>
        </r>
        <r>
          <rPr>
            <sz val="9"/>
            <color indexed="81"/>
            <rFont val="Tahoma"/>
            <family val="2"/>
          </rPr>
          <t xml:space="preserve">
Inelsm01 changed to Inelsm according to tariff structure per system</t>
        </r>
      </text>
    </comment>
    <comment ref="A60" authorId="0" shapeId="0" xr:uid="{18A81C66-E052-4A7F-8ACD-045451EEB7FB}">
      <text>
        <r>
          <rPr>
            <b/>
            <sz val="9"/>
            <color indexed="81"/>
            <rFont val="Tahoma"/>
            <family val="2"/>
          </rPr>
          <t>user:</t>
        </r>
        <r>
          <rPr>
            <sz val="9"/>
            <color indexed="81"/>
            <rFont val="Tahoma"/>
            <family val="2"/>
          </rPr>
          <t xml:space="preserve">
Changed from ELH003 to ELO003</t>
        </r>
      </text>
    </comment>
    <comment ref="A74" authorId="0" shapeId="0" xr:uid="{5735BAD6-1C58-4C0C-9756-881E4918497C}">
      <text>
        <r>
          <rPr>
            <b/>
            <sz val="9"/>
            <color indexed="81"/>
            <rFont val="Tahoma"/>
            <family val="2"/>
          </rPr>
          <t>user:</t>
        </r>
        <r>
          <rPr>
            <sz val="9"/>
            <color indexed="81"/>
            <rFont val="Tahoma"/>
            <family val="2"/>
          </rPr>
          <t xml:space="preserve">
Changed from MLP001 to MSP01 in accordance with BP091 Tariff schedule</t>
        </r>
      </text>
    </comment>
    <comment ref="A75" authorId="0" shapeId="0" xr:uid="{0C104C97-0115-4994-A134-F6D4C8371280}">
      <text>
        <r>
          <rPr>
            <b/>
            <sz val="9"/>
            <color indexed="81"/>
            <rFont val="Tahoma"/>
            <family val="2"/>
          </rPr>
          <t>user:</t>
        </r>
        <r>
          <rPr>
            <sz val="9"/>
            <color indexed="81"/>
            <rFont val="Tahoma"/>
            <family val="2"/>
          </rPr>
          <t xml:space="preserve">
Changed from MLS001 to MSS01 in accordance with BP091 Tariff schedule</t>
        </r>
      </text>
    </comment>
    <comment ref="A76" authorId="0" shapeId="0" xr:uid="{2C233074-E145-4E90-A08E-0EDDDD62F9AB}">
      <text>
        <r>
          <rPr>
            <b/>
            <sz val="9"/>
            <color indexed="81"/>
            <rFont val="Tahoma"/>
            <family val="2"/>
          </rPr>
          <t>user:</t>
        </r>
        <r>
          <rPr>
            <sz val="9"/>
            <color indexed="81"/>
            <rFont val="Tahoma"/>
            <family val="2"/>
          </rPr>
          <t xml:space="preserve">
Changed from MLO001 to MSO01 in accordance with BP091 Tariff schedule</t>
        </r>
      </text>
    </comment>
  </commentList>
</comments>
</file>

<file path=xl/sharedStrings.xml><?xml version="1.0" encoding="utf-8"?>
<sst xmlns="http://schemas.openxmlformats.org/spreadsheetml/2006/main" count="25137" uniqueCount="1960">
  <si>
    <t>DEFINITIONS</t>
  </si>
  <si>
    <t>Posting Level</t>
  </si>
  <si>
    <t>Statement of Financial Performance</t>
  </si>
  <si>
    <t xml:space="preserve">Count </t>
  </si>
  <si>
    <t>STANDARD CHART OF ACCOUNTS</t>
  </si>
  <si>
    <t>REPORTING STRUCTURE</t>
  </si>
  <si>
    <t>Exchange Revenue:  Service Charges</t>
  </si>
  <si>
    <t xml:space="preserve">Sale of electricity by the municipality to the community.  </t>
  </si>
  <si>
    <t>Exchange Revenue:  Service Charges - Electricity</t>
  </si>
  <si>
    <t>Revenue on maintenance of appliances, wiring; piping or other installations on customers' premises. [NERSA Reporting Requirements]</t>
  </si>
  <si>
    <t xml:space="preserve">Exchange Revenue:  Service Charges - Electricity:  Appliance Maintenance </t>
  </si>
  <si>
    <t xml:space="preserve">Exchange Revenue:  Service Charges - Electricity:  Connection/Reconnection </t>
  </si>
  <si>
    <t>Exchange Revenue:  Service Charges - Electricity:  Connection/Reconnection - Change Circuit Breaker</t>
  </si>
  <si>
    <t>Fees charged for the installation of new meters.  [NERSA Regulatory Reporting Requirements]</t>
  </si>
  <si>
    <t>Exchange Revenue:  Service Charges - Electricity:  Connection/Reconnection - Connections New</t>
  </si>
  <si>
    <t>Special tariff for service connections used by housing in large developments (government schemes).   [NERSA Regulatory Reporting Requirements]</t>
  </si>
  <si>
    <t>Exchange Revenue:  Service Charges - Electricity:  Connection/Reconnection - Connections New:  Connection Fees Government Housing</t>
  </si>
  <si>
    <t>Service connections used by non-government housing. [NERSA Regulatory Reporting Requirements]</t>
  </si>
  <si>
    <t>Exchange Revenue:  Service Charges - Electricity:  Connection/Reconnection - Connections New:  Connection Fees Non-government Housing</t>
  </si>
  <si>
    <t>Fees charged for the disconnection and reconnection of meters.   [NERSA Regulatory Reporting Requirements]</t>
  </si>
  <si>
    <t>Exchange Revenue:  Service Charges - Electricity:  Connection/Reconnection - Disconnection/Reconnection Fees</t>
  </si>
  <si>
    <t>Fees charged for providing temporary electricity connections for exhibitions, sport events, etc.</t>
  </si>
  <si>
    <t>Exchange Revenue:  Service Charges - Electricity:  Connection/Reconnection - Temporary Connection Fee</t>
  </si>
  <si>
    <t>Fees collected from other services providers making use of Electricity Poles for other uses.</t>
  </si>
  <si>
    <t>Exchange Revenue:  Service Charges - Electricity:  Joint Pole Usage</t>
  </si>
  <si>
    <t>Exchange Revenue:  Service Charges - Electricity:  Meter Reading Fees</t>
  </si>
  <si>
    <t>Exchange Revenue:  Service Charges - Electricity: Sales</t>
  </si>
  <si>
    <t>This account should record all revenue resulting from the sale of electrical energy used by customers classified as agricultural/rural/farm dwellings.  Records should be maintained so that the quantity of electricity sold and the revenue received under each rate schedule is readily available.</t>
  </si>
  <si>
    <t>This account should record all revenue resulting from the sale of electricity energy used by customers classified as commercial conventional (single phase).  Records should be maintained so that the quantity of electricity sold and the revenue received under each rate schedule is readily available.</t>
  </si>
  <si>
    <t>Exchange Revenue:  Service Charges - Electricity:  Sales - Commercial Conventional (Single Phase)</t>
  </si>
  <si>
    <t>This account should record all revenue resulting from the sale of electrical energy used by customers classified as commercial conventional (3-phase).  Records should be maintained so that the quantity of electricity sold and the revenue received under each rate schedule is readily available.</t>
  </si>
  <si>
    <t>Exchange Revenue:  Service Charges - Electricity:  Sales - Commercial Conventional (3-Phase)</t>
  </si>
  <si>
    <t xml:space="preserve">This account should record all revenue resulting from the sale of electrical energy used by customers classified as commercial prepaid.  Records should be maintained so that the quantity of electricity sold and the revenue received under each rate schedule is readily available.  </t>
  </si>
  <si>
    <t>Exchange Revenue:  Service Charges - Electricity:  Sales - Commercial Prepaid</t>
  </si>
  <si>
    <t>This account should record the net billing for electricity supplied for low usage domestic (indigent/prepaid) purposes.  Records should be maintained so that the quantity of electricity sold and the revenue received under each rate schedule is readily available.</t>
  </si>
  <si>
    <t xml:space="preserve">Exchange Revenue:  Service Charges - Electricity:  Sales - Domestic Low </t>
  </si>
  <si>
    <t>Homelight is a suite of electricity tariffs that provides a subsidy to low-usage for single-phase residential supplies in urban and electrification areas.  Homelight 1 and 2 is any combination of appliances can be used at the same time as long as the capacity of all appliances does not exceed a maximum of 4200 W fore 20A limited supplies and 12500W for 60A limited supplies.</t>
  </si>
  <si>
    <t>Exchange Revenue:  Service Charges - Electricity:  Sales - Domestic Low:  Home light 1 20A</t>
  </si>
  <si>
    <t>Exchange Revenue:  Service Charges - Electricity:  Sales - Domestic Low:  Home light 1 60A</t>
  </si>
  <si>
    <t>Exchange Revenue:  Service Charges - Electricity:  Sales - Domestic Low:  Home light 2 20A</t>
  </si>
  <si>
    <t>Exchange Revenue:  Service Charges - Electricity:  Sales - Domestic Low:  Home light 2 60A</t>
  </si>
  <si>
    <t>This account should record the net billing for electricity supplied for low usage domestic (indigent/prepaid) purposes.  Records should be maintained so that the quantity of electricity sold and the revenue received under each rate schedule is readily available.  Homepower standard is the electricity tariff suitable for residential customers and low consumption supplies such as churches, schools, halls, clinics, old-age homes or similar supplies in urban areas with an NMD of up to 100 kva.</t>
  </si>
  <si>
    <t>Exchange Revenue:  Service Charges - Electricity:  Sales - Domestic High:</t>
  </si>
  <si>
    <t>Homepower 1 dual-phase 32 kVA (80A per phase) three phases 25 kVA (40 A per phase)</t>
  </si>
  <si>
    <t>Homepower 2 dual-phase 64 kVA (150 A per phase) three phases 50 kVA (80 A per phase)</t>
  </si>
  <si>
    <t>Exchange Revenue:  Service Charges - Electricity:  Sales - Domestic High:  Home power 2</t>
  </si>
  <si>
    <t>Homepower 3 dual-phase 100 kVA (225 A per phase) three phases 100 kVA (150 A per phase)</t>
  </si>
  <si>
    <t>Exchange Revenue:  Service Charges - Electricity:  Sales - Domestic High:  Home power 3</t>
  </si>
  <si>
    <t>Homepower 4 single-phase 16kVA (80A per phase)</t>
  </si>
  <si>
    <t>Homepower Bulk - Electricity tariff for residential bulk supplies &gt; 100 kVA, typically sectional title developments and multiple housing unit, in urban areas connected prior to 1 January 2004.</t>
  </si>
  <si>
    <t>Exchange Revenue:  Service Charges - Electricity:  Sales - Domestic High:  Home power Bulk</t>
  </si>
  <si>
    <t>This account should record all revenue resulting from the sale of electrical energy used by customers classified as industrial low-voltage.  Records should be maintained so the  quantity of electricity sold and the revenue received under each rate schedule is readily available.</t>
  </si>
  <si>
    <t>Exchange Revenue:  Service Charges - Electricity:  Sales - Industrial (400 Volts) (Low Voltage)</t>
  </si>
  <si>
    <t>This account should record all revenue resulting from the sale of electrical energy used by customers classified as industrial high-voltage.  Records should be maintained so that the quantity of electricity sold and the revenue received under each rate schedule is readily available.</t>
  </si>
  <si>
    <t>Exchange Revenue:  Service Charges - Electricity:  Sales - Industrial (11 000 Volts) (High Voltage)</t>
  </si>
  <si>
    <t>This account should record all revenues (tariff, non-conventional or non-tariff) for services and charges billed to affiliates, in accordance with the provisions of each Utility's policy on affiliate transactions as prescribed in RRM Volume 1.  These transactions are not specifically provided for in other accounts.  NOTE:  This account will be broken down by major revenue classifications per utility specific requirements.</t>
  </si>
  <si>
    <t>Exchange Revenue:  Service Charges - Electricity:  Sales - Miscellaneous Services Revenue:  Affiliates and Inter Affiliates</t>
  </si>
  <si>
    <t>This account should record both unbilled revenue adjustments and prior year billing adjustments.  Each adjustment should be completely described.</t>
  </si>
  <si>
    <t>Exchange Revenue:  Service Charges - Electricity:  Sales - Revenue Adjustment</t>
  </si>
  <si>
    <t>This account should record all revenue resulting from the sale of electrical energy used by customers classified under special/negotiated tariff arrangements.  Records should be maintained so that the quantity of electricity sold and the revenue received under each rate schedule is readily available.</t>
  </si>
  <si>
    <t>Exchange Revenue:  Service Charges - Electricity:  Sales - Special Negotiated Tariffs</t>
  </si>
  <si>
    <t xml:space="preserve">This account should record all revenue resulting from the sale of electrical energy used by customers classified as sports grounds/churches/holiday/old age homes.  Records should be maintained so that the quantity of electricity sold and the revenue received under each rate schedule is readily available. </t>
  </si>
  <si>
    <t>Exchange Revenue:  Service Charges - Electricity:  Sales - Sports Grounds/Churches/Holiday/Old-age homes</t>
  </si>
  <si>
    <t>This account should record all revenue resulting from the sale of electrical energy used for the lighting of streets and parks.</t>
  </si>
  <si>
    <t>Exchange Revenue:  Service Charges - Electricity:  Sales - Street Lighting</t>
  </si>
  <si>
    <t>This account should record all revenue resulting from the sale of electrical energy used for water pumps.  Records should be maintained so that the quantity of electricity sold and the revenue received under each rate schedule is readily available.</t>
  </si>
  <si>
    <t>Exchange Revenue:  Service Charges - Electricity:  Sales - Water pumps</t>
  </si>
  <si>
    <t>Yes</t>
  </si>
  <si>
    <t>N/a</t>
  </si>
  <si>
    <t>Various</t>
  </si>
  <si>
    <t>Note 32</t>
  </si>
  <si>
    <t>Service fees charge for changing/replacing circuit breakers.</t>
  </si>
  <si>
    <t>Exchange Revenue:  Service Charges - Electricity:  Sales - Domestic High:  Home power 1</t>
  </si>
  <si>
    <t>Exchange Revenue:  Service Charges - Electricity:  Sales - Domestic High:  Home power 4</t>
  </si>
  <si>
    <t>This group of accounts provide for the sale of electricity to third parties using the NERSA classification and includes availability charges.</t>
  </si>
  <si>
    <t>Summary</t>
  </si>
  <si>
    <t>A1</t>
  </si>
  <si>
    <t>A4</t>
  </si>
  <si>
    <t>SA2</t>
  </si>
  <si>
    <t>SA11</t>
  </si>
  <si>
    <t>SA12</t>
  </si>
  <si>
    <t>SA13</t>
  </si>
  <si>
    <t>SA18</t>
  </si>
  <si>
    <t>SA25</t>
  </si>
  <si>
    <t>SA27</t>
  </si>
  <si>
    <t>SA31</t>
  </si>
  <si>
    <t>Y</t>
  </si>
  <si>
    <t>A4 SA1</t>
  </si>
  <si>
    <t>SA1</t>
  </si>
  <si>
    <t>SA3</t>
  </si>
  <si>
    <t>Notes</t>
  </si>
  <si>
    <t>NERSA</t>
  </si>
  <si>
    <t>Function</t>
  </si>
  <si>
    <t>Acc Nr.</t>
  </si>
  <si>
    <t>Description</t>
  </si>
  <si>
    <t>Electricity</t>
  </si>
  <si>
    <t>NERSA Reporting Table</t>
  </si>
  <si>
    <t>Clarification pending from NERSA</t>
  </si>
  <si>
    <t>Wheeling is the transmission of electricity by an entity that does not own or directly use the electricity that it is transmitting.  Wheeling service being the use of the transmission facilities of one system to transmit power and energy by agreement of, and for, another system with a corresponding wheeling charge.</t>
  </si>
  <si>
    <t xml:space="preserve">This account should record revenues from network distribution charge that should not be included in sale/distribution/reticulation of electricity accounts.  </t>
  </si>
  <si>
    <t>Fees charge for connecting/reconnecting a new user or disconnect user to the water or electricity distribution network.  Reported as part of Total Other Income ito NERSA IS1:  Fees for changing, connecting or disconnecting service.  See Miscellaneous Service Revenue - Other [IS1].</t>
  </si>
  <si>
    <t>Fees collected from the  test water or electricity meters, special readings, call-out fees and off-cycle reads.</t>
  </si>
  <si>
    <t>Exchange Revenue:  Service Charges - Electricity:  Electricity Distribution Revenue for Services</t>
  </si>
  <si>
    <t>Exchange Revenue:  Service Charges - Electricity:  Notice Revenues</t>
  </si>
  <si>
    <t>Payments in lieu of notice revenues collected from customers.</t>
  </si>
  <si>
    <t>Exchange Revenue:  Service Charges - Electricity:  Meter Compliance Testing</t>
  </si>
  <si>
    <t xml:space="preserve">Fees gained from third parties for work done to complete meter compliance testing.  </t>
  </si>
  <si>
    <t xml:space="preserve">Exchange Revenue:  Service Charges - Electricity:  Temporary Service Plant </t>
  </si>
  <si>
    <t xml:space="preserve">Net credit or debit (cost less net salvage and less payment from customers) on closing of work orders for plant installed for temporary service of less than one year.  </t>
  </si>
  <si>
    <t>Project</t>
  </si>
  <si>
    <t>Other</t>
  </si>
  <si>
    <t>IS1</t>
  </si>
  <si>
    <t>Report</t>
  </si>
  <si>
    <t>Label</t>
  </si>
  <si>
    <t>Item</t>
  </si>
  <si>
    <t>Operating Revenue:  Service Charges</t>
  </si>
  <si>
    <t>0400</t>
  </si>
  <si>
    <t>Ancillary charges occur from those services necessary to support the transmission of energy from resources to loads while maintaining reliable operation of the transmission provider’s transmission system.  Ancillary services include black start service, non-spinning reserve service, regulation and frequent response service, replacement reserve service, spinning reserve service and voltage support service.</t>
  </si>
  <si>
    <t>Posting Level (Yes/No)</t>
  </si>
  <si>
    <t>Breakdown Allowed (Yes/No)</t>
  </si>
  <si>
    <t>AFS</t>
  </si>
  <si>
    <t>BRF</t>
  </si>
  <si>
    <t>National Treasury Return Forms [Statement of Financial Performance]</t>
  </si>
  <si>
    <t>Exchange Revenue:  Service Charges - Electricity:  Sales - Agricultural/Rural/Farm Dwellings Tariffs</t>
  </si>
  <si>
    <t>No</t>
  </si>
  <si>
    <t>VAT Status</t>
  </si>
  <si>
    <t>StdOut</t>
  </si>
  <si>
    <t>Notes on VAT Status and Reference</t>
  </si>
  <si>
    <t>VAT 419 Annexure B</t>
  </si>
  <si>
    <t>Exchange Revenue:  Service Charges - Electricity Distribution Revenue for Services:  Network Charges</t>
  </si>
  <si>
    <t>Exchange Revenue:  Service Charges - Electricity Distribution Revenue for Services:  Ancillary Charges</t>
  </si>
  <si>
    <t>Exchange Revenue:  Service Charges - Electricity Distribution Revenue for Services:  Losses</t>
  </si>
  <si>
    <t>Exchange Revenue:  Service Charges - Electricity Distribution Revenue for Services:  Electricity Services Incidental to Energy Sales</t>
  </si>
  <si>
    <t>All</t>
  </si>
  <si>
    <t>IR</t>
  </si>
  <si>
    <t>10</t>
  </si>
  <si>
    <t>11</t>
  </si>
  <si>
    <t>12</t>
  </si>
  <si>
    <t>13</t>
  </si>
  <si>
    <t>Application</t>
  </si>
  <si>
    <t>Exchange Revenue:  Service Charges - Electricity:  Sales - Domestic Low:  Prepaid</t>
  </si>
  <si>
    <t>Exchange Revenue:  Service Charges - Electricity:  Sales - Domestic High:  Prepaid</t>
  </si>
  <si>
    <t>Prepaid electricity.</t>
  </si>
  <si>
    <t>SEGMENT:  ITEM - REVENUE</t>
  </si>
  <si>
    <t>1</t>
  </si>
  <si>
    <t>3</t>
  </si>
  <si>
    <t>4</t>
  </si>
  <si>
    <t>5</t>
  </si>
  <si>
    <t>6</t>
  </si>
  <si>
    <t>7</t>
  </si>
  <si>
    <t>8</t>
  </si>
  <si>
    <t>9</t>
  </si>
  <si>
    <t>SCOA FOR MUNICS:  VERSION 5.1  (? 2014)</t>
  </si>
  <si>
    <t>Code Structure</t>
  </si>
  <si>
    <t>Principle</t>
  </si>
  <si>
    <t>2</t>
  </si>
  <si>
    <t>Provide detail to SCOA Technical Committee</t>
  </si>
  <si>
    <t xml:space="preserve">This group of accounts provides for the basic services delivered by municipalities.   </t>
  </si>
  <si>
    <t>000</t>
  </si>
  <si>
    <t>001</t>
  </si>
  <si>
    <t>002</t>
  </si>
  <si>
    <t>003</t>
  </si>
  <si>
    <t>004</t>
  </si>
  <si>
    <t>005</t>
  </si>
  <si>
    <t>006</t>
  </si>
  <si>
    <t>007</t>
  </si>
  <si>
    <t>008</t>
  </si>
  <si>
    <t>009</t>
  </si>
  <si>
    <t>010</t>
  </si>
  <si>
    <t>011</t>
  </si>
  <si>
    <t>012</t>
  </si>
  <si>
    <t>013</t>
  </si>
  <si>
    <t>014</t>
  </si>
  <si>
    <t>e060505b-a548-43a8-a378-e13a2baba875</t>
  </si>
  <si>
    <t>8849c3f5-55bf-4ad4-8163-542f07c5dc5d</t>
  </si>
  <si>
    <t>3cdf31fd-786a-480e-bf38-5ee6400c8429</t>
  </si>
  <si>
    <t>cdabca49-ecc1-4b4d-8cfa-da2ca5ef587d</t>
  </si>
  <si>
    <t>ca79d014-a3bf-4869-9937-99f5b4841fa4</t>
  </si>
  <si>
    <t>18123445-8b2e-48a5-a599-eb38b8b2c505</t>
  </si>
  <si>
    <t>c148d1f0-8493-4b5a-a63f-93b446eaa9e2</t>
  </si>
  <si>
    <t>36d97a84-3ec6-4991-afe3-21d8338685c1</t>
  </si>
  <si>
    <t>c7cf7ca3-97e8-4c72-a34b-c3e5c77275bc</t>
  </si>
  <si>
    <t>e3984c93-2b1a-4797-a0d6-61d439c16dbf</t>
  </si>
  <si>
    <t>d1555676-7781-4a0e-b8fd-a2d30aea7f7d</t>
  </si>
  <si>
    <t>1f11e730-6b3e-40e7-b771-01dec9363574</t>
  </si>
  <si>
    <t>87933de2-b138-4343-9d84-1385da0e216a</t>
  </si>
  <si>
    <t>b2978d92-de38-4f3a-8c1e-da1a30ee16ee</t>
  </si>
  <si>
    <t>6c129c3f-3086-4fe6-8f6f-7e1e8cc8ffbc</t>
  </si>
  <si>
    <t>a54d2d13-1693-4ccc-979f-cf59e2e5973b</t>
  </si>
  <si>
    <t>1332d335-3eac-4071-8320-b4fecc0731d4</t>
  </si>
  <si>
    <t>864a0647-13fb-4dd6-be51-6c14b0811198</t>
  </si>
  <si>
    <t>f2f7d547-9e2d-438f-80ca-770a59bcbcac</t>
  </si>
  <si>
    <t>bb942643-72a0-4789-9175-aab26afe8ef0</t>
  </si>
  <si>
    <t>920f4721-c889-4b75-bbf4-4b5653cc7709</t>
  </si>
  <si>
    <t>891a3b4a-13a2-41eb-8de6-3d4dbd2addd6</t>
  </si>
  <si>
    <t>803263a2-532a-4b57-a51b-130da229d4b8</t>
  </si>
  <si>
    <t>688267d4-ead3-400c-9dd8-aae5fc02154d</t>
  </si>
  <si>
    <t>204c9b0c-a6a7-4c22-b812-3d55cb1ed1bd</t>
  </si>
  <si>
    <t>982be2c3-93b5-48a1-bd78-56c6bc138f61</t>
  </si>
  <si>
    <t>72ad9d30-c8be-4e84-8d38-228c348057a6</t>
  </si>
  <si>
    <t>0051a881-9898-4297-8194-526c20907da1</t>
  </si>
  <si>
    <t>753a9394-1907-4fb9-9ee2-7ff8a2a57dd5</t>
  </si>
  <si>
    <t>120f6f74-4b7e-47dd-96c3-93f4921adee7</t>
  </si>
  <si>
    <t>05f99939-8709-4323-ad90-50530082aada</t>
  </si>
  <si>
    <t>2345276c-edc7-44a4-aece-3b77a65aa91d</t>
  </si>
  <si>
    <t>7f32c6dc-05de-43a2-ae90-de1615ac8eac</t>
  </si>
  <si>
    <t>e7b2cf47-ac8d-4a72-8bc2-79c7920e8253</t>
  </si>
  <si>
    <t>62e459ae-405d-40a3-b61c-129531a2bb53</t>
  </si>
  <si>
    <t>68f4c725-0527-4d8e-97a3-caec45c1123a</t>
  </si>
  <si>
    <t>8955829a-0fb6-41ab-b1f9-af29e5d5603a</t>
  </si>
  <si>
    <t>65845508-7f14-4558-a935-023d3e82b136</t>
  </si>
  <si>
    <t>07da2c2a-5280-4206-93c7-95aa7f054a9d</t>
  </si>
  <si>
    <t>9825ea71-7d75-4e90-81fc-1b41b6621c93</t>
  </si>
  <si>
    <t>ac03444b-7a8a-4d9a-91a5-b1a4fd1d8ce3</t>
  </si>
  <si>
    <t>8b28575b-2b31-4092-9bd7-381b8c762f3a</t>
  </si>
  <si>
    <t>491bc517-5c10-4d84-89dc-510e7607069a</t>
  </si>
  <si>
    <t>bc298523-5166-4c7a-bddd-07cea50ce474</t>
  </si>
  <si>
    <t>48c9cc8b-52d0-417d-a679-9ccd4879597d</t>
  </si>
  <si>
    <t>9cb3dc05-5bd3-42f7-ae50-d2fc0fcd0588</t>
  </si>
  <si>
    <t>112</t>
  </si>
  <si>
    <t>113</t>
  </si>
  <si>
    <t>114</t>
  </si>
  <si>
    <t>118</t>
  </si>
  <si>
    <t>119</t>
  </si>
  <si>
    <t>120</t>
  </si>
  <si>
    <t>121</t>
  </si>
  <si>
    <t>123</t>
  </si>
  <si>
    <t>124</t>
  </si>
  <si>
    <t>125</t>
  </si>
  <si>
    <t>126</t>
  </si>
  <si>
    <t>127</t>
  </si>
  <si>
    <t>S</t>
  </si>
  <si>
    <t>R</t>
  </si>
  <si>
    <t>SALE OF ELECTRICITY</t>
  </si>
  <si>
    <t>P</t>
  </si>
  <si>
    <t>ELECTRICITY: SALES - DOMESTIC LOW:MMM INDIG LD IBT INELSM</t>
  </si>
  <si>
    <t>SALE OF PREPAID ELECTRICITY</t>
  </si>
  <si>
    <t>ELEC SALES: COMMERC CONVEN SINGLE PHASE:MMM ROT BUSI LD FLAT RATE ELSMO5</t>
  </si>
  <si>
    <t>ELEC SALES: COMMERC CONVEN SINGLE PHASE:MMM ROT BUSI HD FLAT RATE EL0005</t>
  </si>
  <si>
    <t>ELEC SALES: AGRIC/RURAL/FARM DWEL TARIFF:MMM INDIG LD IBT (SUM) INELSM</t>
  </si>
  <si>
    <t>Exchange Revenue:  Service Charges - Electricity:  Sales - Agricultural/Rural/Farm Dwellings Tariffs Mangaung Indigent Low Demand IBT (Summer) INELSM</t>
  </si>
  <si>
    <t>SERVICE CHARGES</t>
  </si>
  <si>
    <t>H</t>
  </si>
  <si>
    <t>EXCHANGE REVENUE</t>
  </si>
  <si>
    <t>INCOME</t>
  </si>
  <si>
    <t>SCOA Short Description</t>
  </si>
  <si>
    <t>SCOA Description</t>
  </si>
  <si>
    <t>SCOA Mapping No</t>
  </si>
  <si>
    <t>Tariff Split</t>
  </si>
  <si>
    <t>Summer</t>
  </si>
  <si>
    <t>Winter</t>
  </si>
  <si>
    <t>Block 1 (1 - 350kWh)</t>
  </si>
  <si>
    <t>EL0001</t>
  </si>
  <si>
    <t>Comflex</t>
  </si>
  <si>
    <t>Elecflex 1</t>
  </si>
  <si>
    <t>Basic Charge</t>
  </si>
  <si>
    <t>ACC001</t>
  </si>
  <si>
    <t>ELK001</t>
  </si>
  <si>
    <t>ELHP01</t>
  </si>
  <si>
    <t>ELHS01</t>
  </si>
  <si>
    <t>ELHO01</t>
  </si>
  <si>
    <t>Elecflex 2</t>
  </si>
  <si>
    <t>ACC002</t>
  </si>
  <si>
    <t>ELK002</t>
  </si>
  <si>
    <t>ELHP02</t>
  </si>
  <si>
    <t>ELHS02</t>
  </si>
  <si>
    <t>ELHO02</t>
  </si>
  <si>
    <t>Elecflex 3</t>
  </si>
  <si>
    <t>ACC003</t>
  </si>
  <si>
    <t>ELK003</t>
  </si>
  <si>
    <t>Bulk Resell 2</t>
  </si>
  <si>
    <t>Bulk Resell 3</t>
  </si>
  <si>
    <t>ELK005</t>
  </si>
  <si>
    <t>ELHS05</t>
  </si>
  <si>
    <t>ELHO05</t>
  </si>
  <si>
    <t>Sport Stadiums on ToU</t>
  </si>
  <si>
    <t>MHP001</t>
  </si>
  <si>
    <t>MHS001</t>
  </si>
  <si>
    <t>MHO001</t>
  </si>
  <si>
    <t>kWh</t>
  </si>
  <si>
    <t>High</t>
  </si>
  <si>
    <t>Low</t>
  </si>
  <si>
    <t>Yearly</t>
  </si>
  <si>
    <t>Block 2 (&gt; 350kWh)</t>
  </si>
  <si>
    <t>IBT</t>
  </si>
  <si>
    <t>O</t>
  </si>
  <si>
    <t>PP flat business</t>
  </si>
  <si>
    <t>Tariff</t>
  </si>
  <si>
    <t>Rotary flat business</t>
  </si>
  <si>
    <t>Access</t>
  </si>
  <si>
    <t>MD</t>
  </si>
  <si>
    <t>Bulk Residential 2</t>
  </si>
  <si>
    <t>Bulk Residential 3</t>
  </si>
  <si>
    <t>Centlec Departmental on Tou</t>
  </si>
  <si>
    <t>Centlec Street Lights (BASED ON ACTUAL REVENUE 2013/2014)</t>
  </si>
  <si>
    <t>Total</t>
  </si>
  <si>
    <t>Prepayment</t>
  </si>
  <si>
    <t>Conventional</t>
  </si>
  <si>
    <t>FBE</t>
  </si>
  <si>
    <t>Streetlights</t>
  </si>
  <si>
    <t>Typ</t>
  </si>
  <si>
    <t>Votenumber</t>
  </si>
  <si>
    <t>Budget/OpenBal</t>
  </si>
  <si>
    <t>0000-00-2-10-1100</t>
  </si>
  <si>
    <t>MANGAUNG DOMESTIC HIGH WINTER</t>
  </si>
  <si>
    <t>ELSM01</t>
  </si>
  <si>
    <t>MANGAUNG DOMESTIC HIGH SUMMER</t>
  </si>
  <si>
    <t>INEL01</t>
  </si>
  <si>
    <t>MANGAUNG Indigent High Demand IBT(Winter)</t>
  </si>
  <si>
    <t>INELSM</t>
  </si>
  <si>
    <t>MANGAUNG Indigent Low Demand IBT(Summer)</t>
  </si>
  <si>
    <t>EL0005</t>
  </si>
  <si>
    <t>MANGAUNG ROTARY BUSINESS HIGH DEMAND FLAT RATE</t>
  </si>
  <si>
    <t>ELSM05</t>
  </si>
  <si>
    <t>MANGAUNG ROTARY BUSINESS LOW DEMAND FLAT RATE</t>
  </si>
  <si>
    <t>Exchange Revenue:  Service Charges - Electricity:  Sales - Commercial Conventional (3-Phase) N/A</t>
  </si>
  <si>
    <t>MANGAUNG Indigent Low Demand IBT</t>
  </si>
  <si>
    <t>Exchange Revenue:  Service Charges - Electricity:  Sales - Domestic Low:  Home light 1 20A - N/A</t>
  </si>
  <si>
    <t>Exchange Revenue:  Service Charges - Electricity:  Sales - Domestic Low:  Home light 1 60A N/A</t>
  </si>
  <si>
    <t>Exchange Revenue:  Service Charges - Electricity:  Sales - Domestic Low:  Home light 2 20A N/A</t>
  </si>
  <si>
    <t>Exchange Revenue:  Service Charges - Electricity:  Sales - Domestic Low:  Home light 2 60A N/A</t>
  </si>
  <si>
    <t>MANGAUNG Indigent High Demand IBT</t>
  </si>
  <si>
    <t>Exchange Revenue:  Service Charges - Electricity:  Sales - Domestic High:  Home power 1 - N/A</t>
  </si>
  <si>
    <t>Exchange Revenue:  Service Charges - Electricity:  Sales - Domestic High:  Home power 2 - N/A</t>
  </si>
  <si>
    <t>Exchange Revenue:  Service Charges - Electricity:  Sales - Domestic High:  Home power 3 - N/A</t>
  </si>
  <si>
    <t>Exchange Revenue:  Service Charges - Electricity:  Sales - Domestic High:  Home power 4 - N/A</t>
  </si>
  <si>
    <t>Exchange Revenue:  Service Charges - Electricity:  Sales - Domestic High:  Home power Bulk N/A</t>
  </si>
  <si>
    <t>MANGAUNG Elecflex 3 Access Charge</t>
  </si>
  <si>
    <t>ELHO03</t>
  </si>
  <si>
    <t>MANGAUNG Elecflex 3 High Demand Off-Peak</t>
  </si>
  <si>
    <t>ELHP03</t>
  </si>
  <si>
    <t>MANGAUNG Elecflex 3 High Demand Peak</t>
  </si>
  <si>
    <t>ELHS03</t>
  </si>
  <si>
    <t>MANGAUNG Elecflex 3 High Demand Standard</t>
  </si>
  <si>
    <t>MANGAUNG Elecflex 3 kVA</t>
  </si>
  <si>
    <t>ELO003</t>
  </si>
  <si>
    <t>MANGAUNG Elecflex 3 Low Demand Off-Peak</t>
  </si>
  <si>
    <t>ELP003</t>
  </si>
  <si>
    <t>MANGAUNG Elecflex 3 Low Demand Peak</t>
  </si>
  <si>
    <t>ELS003</t>
  </si>
  <si>
    <t>MANGAUNG Elecflex 3 Low Demand Standard</t>
  </si>
  <si>
    <t>Exchange Revenue:  Service Charges - Electricity:  Sales - Residential (400 Volts) (Low Voltage)</t>
  </si>
  <si>
    <t>ACC005</t>
  </si>
  <si>
    <t>MANGAUNG Bulk Resell 3 Access Charge</t>
  </si>
  <si>
    <t>MANGAUNG Bulk Resell 3 High Demand Off-Peak</t>
  </si>
  <si>
    <t>ELHP05</t>
  </si>
  <si>
    <t>MANGAUNG Bulk resell 3 High Demand Peak</t>
  </si>
  <si>
    <t>MANGAUNG Bulk Resell 3 High Demand Standard</t>
  </si>
  <si>
    <t>MANGAUNG Bulk Resell 3 kVA</t>
  </si>
  <si>
    <t>ELP005</t>
  </si>
  <si>
    <t>MANGAUNG Bulk Resell 3 Low Demand Peak</t>
  </si>
  <si>
    <t>ELO005</t>
  </si>
  <si>
    <t>MANGAUNG Bulk Resell 3 Low Demand Off-Peak</t>
  </si>
  <si>
    <t>ELS005</t>
  </si>
  <si>
    <t>MANGAUNG Bulk Resell 3 Low Demand Standard</t>
  </si>
  <si>
    <t>Exchange Revenue:  Service Charges - Electricity:  Sales - Residential (Bulk) 80-150A per phase (3 Phase) Domestic</t>
  </si>
  <si>
    <t>ELRHDO</t>
  </si>
  <si>
    <t>MANGAUNG Homeflex High Demand Off-Peak 3 Phase</t>
  </si>
  <si>
    <t>ELRHDP</t>
  </si>
  <si>
    <t>MANGAUNG Homeflex High Demand Peak 3 Phase</t>
  </si>
  <si>
    <t>ELRHDS</t>
  </si>
  <si>
    <t>MANGAUNG Homeflex High Demand Standard 3 Phase</t>
  </si>
  <si>
    <t>ELRLDO</t>
  </si>
  <si>
    <t>MANGAUNG Homeflex Low Demand Off-Peak 3 Phase</t>
  </si>
  <si>
    <t>ELRLDP</t>
  </si>
  <si>
    <t>MANGAUNG Homeflex Low Demand Peak 3 Phase</t>
  </si>
  <si>
    <t>ELRLDS</t>
  </si>
  <si>
    <t>MANGAUNG Homeflex Low Demand Standard 3 Phase</t>
  </si>
  <si>
    <t>ELROBC</t>
  </si>
  <si>
    <t>MANGAUNG Homeflex Service Charge</t>
  </si>
  <si>
    <t>Exchange Revenue:  Service Charges - Electricity:  Sales - Residential (Bulk) 80-150A per phase (1 Phase) Domestic</t>
  </si>
  <si>
    <t>ELREBC</t>
  </si>
  <si>
    <t>MANGAUNG Homeflex Servicwe Charge</t>
  </si>
  <si>
    <t>E1RHDO</t>
  </si>
  <si>
    <t>MANGAUNG Homeflex High Demand Off-Peak 1 Phase</t>
  </si>
  <si>
    <t>E1RHDP</t>
  </si>
  <si>
    <t>MANGAUNG Homeflex High Demand Peak 1 Phase</t>
  </si>
  <si>
    <t>E1RHDS</t>
  </si>
  <si>
    <t>MANGAUNG Homeflex High Demand Standard 1 Phase</t>
  </si>
  <si>
    <t>E1RLDO</t>
  </si>
  <si>
    <t>MANGAUNG Homeflex Low Demand Off-Peak 1 Phase</t>
  </si>
  <si>
    <t>E1RLDP</t>
  </si>
  <si>
    <t>MANGAUNG Homeflex Low Demand Peak 1 Phase</t>
  </si>
  <si>
    <t>E1RLDS</t>
  </si>
  <si>
    <t>MANGAUNG Homeflex Low Demand Standard 1 Phase</t>
  </si>
  <si>
    <t>Exchange Revenue:  Service Charges - Electricity:  Sales - Commercial (Bulk) 80-150A per phase (3 Phase)</t>
  </si>
  <si>
    <t>ELCHDO</t>
  </si>
  <si>
    <t>MANGAUNG Comflex Highg Demand Off-Peak 3 Phase</t>
  </si>
  <si>
    <t>ELCHDP</t>
  </si>
  <si>
    <t>MANGAUNG Comflex High Demand Peak 3 Phase</t>
  </si>
  <si>
    <t>ELCHDS</t>
  </si>
  <si>
    <t>MANGAUNG Comflex High Demand Standard 3 Phase</t>
  </si>
  <si>
    <t>ELCOBC</t>
  </si>
  <si>
    <t>MANGAUNG Comflex Service Charge 3 Phase</t>
  </si>
  <si>
    <t>ELCLDO</t>
  </si>
  <si>
    <t>MANGAUNG Comflex Low Demand Off-Peak 3 Phase</t>
  </si>
  <si>
    <t>ELCLDP</t>
  </si>
  <si>
    <t>MANGAUNG Comflex Low Demand Peak 3 Phase</t>
  </si>
  <si>
    <t>ELCLDS</t>
  </si>
  <si>
    <t>MANGAUNG Comflex Low Demand Standard 3 Phase</t>
  </si>
  <si>
    <t>Exchange Revenue:  Service Charges - Electricity:  Sales - Comemmercial (Bulk) 80-150A per phase (1 Phase)</t>
  </si>
  <si>
    <t>ELCEBC</t>
  </si>
  <si>
    <t>MANGAUNG Comflex Service Charge 1 Phase</t>
  </si>
  <si>
    <t>E1CLDP</t>
  </si>
  <si>
    <t>MANGAUNG Comflex Low Demand Peak 1 Phase</t>
  </si>
  <si>
    <t>E1CLDS</t>
  </si>
  <si>
    <t>MANGAUNG Comflex Low Demand Standard 1 Phase</t>
  </si>
  <si>
    <t>E1CLDO</t>
  </si>
  <si>
    <t>MANGAUNG Comflex Low Demand Off Peak 1 Phase</t>
  </si>
  <si>
    <t>E1CHDO</t>
  </si>
  <si>
    <t>MANGAUNG Comflex High Demand Off Peak 1 Phase</t>
  </si>
  <si>
    <t>E1CHDP</t>
  </si>
  <si>
    <t>MANGAUNG Comflex High Demand Peak 1 Phase</t>
  </si>
  <si>
    <t>E1CHDS</t>
  </si>
  <si>
    <t>MANGAUNG Comflex High Demand Standard 1 phase</t>
  </si>
  <si>
    <t>Exchange Revenue:  Service Charges - Electricity:  Sales - Industrial (11 000 Volts) (High Voltage) 500kVA and upwards</t>
  </si>
  <si>
    <t>MANGAUNG Elekflex 2 Access Charge</t>
  </si>
  <si>
    <t>MANGAUNG Elecflex 2 High Demand Off-Peak</t>
  </si>
  <si>
    <t>MANGAUNG Elecflex 2 High Demand Peak</t>
  </si>
  <si>
    <t>MANGAUNG Elecflex 2 High Demand Standard</t>
  </si>
  <si>
    <t>MANGAUNG Elecflex 2 kVA</t>
  </si>
  <si>
    <t>ELO002</t>
  </si>
  <si>
    <t>MANGAUNG Elecflex 2 Low Demand Off-Peak</t>
  </si>
  <si>
    <t>ELP002</t>
  </si>
  <si>
    <t>MANGAUNG Elecflex 2 Low Demand Peak</t>
  </si>
  <si>
    <t>ELS002</t>
  </si>
  <si>
    <t>MANGAUNG Elecflex 2 Low Demand Standard</t>
  </si>
  <si>
    <t>Exchange Revenue:  Service Charges - Electricity:  Sales - Residential (11 000 Volts) (High Voltage) 500kVA and upwards</t>
  </si>
  <si>
    <t>MANGAUNG Bulk Resell 3 Acess Charge</t>
  </si>
  <si>
    <t>MANGAUNG Bulk Resell 3 High Demand Peak</t>
  </si>
  <si>
    <t>MANGAUNG Elecflex 1 Access Charge</t>
  </si>
  <si>
    <t>MANGAUNG Elecflex 1 High Demand Off-Peak</t>
  </si>
  <si>
    <t>MANGAUNG Elecflex  1 High Demand Peak</t>
  </si>
  <si>
    <t>MANGAUNG Elecflex 1 High Demand Standard</t>
  </si>
  <si>
    <t>MANGAUNG Elecflex 1 kVA</t>
  </si>
  <si>
    <t>ELP001</t>
  </si>
  <si>
    <t>MANGAUNG Elecflex  1 Low Demand Off-peak</t>
  </si>
  <si>
    <t>MANGAUNG Elecflex 1 Low Demand Peak</t>
  </si>
  <si>
    <t>ELS001</t>
  </si>
  <si>
    <t>MANGAUNG Elecflex 1 Low Demand Standard</t>
  </si>
  <si>
    <t>Exchange Revenue:  Service Charges - Electricity:  Sales - Sports Grounds/Ngo's/Holiday/Old Age Homes</t>
  </si>
  <si>
    <t>CNHO01</t>
  </si>
  <si>
    <t>MANGAUNG CENTLEC ENERGY HIGH SEASON OFF-PEAK</t>
  </si>
  <si>
    <t>CNHP01</t>
  </si>
  <si>
    <t>MANGAUNG CENTLEC ENERGY HIGH SEASON PEAK</t>
  </si>
  <si>
    <t>CNHS01</t>
  </si>
  <si>
    <t>MANGAUNG CENTLEC ENERGY HIGH SEASON STANDARD</t>
  </si>
  <si>
    <t>CNO001</t>
  </si>
  <si>
    <t>MANGAUNG CENTLEC ENERGY LOW Demand OFF-PEAK</t>
  </si>
  <si>
    <t>CNP001</t>
  </si>
  <si>
    <t>MANGAUNG CENTLEC ENERGY LOW DEMAND PEAK</t>
  </si>
  <si>
    <t>CNS001</t>
  </si>
  <si>
    <t>MANGAUNG CENTLEC ENERGY LOW DEMAND STANDARD</t>
  </si>
  <si>
    <t>Exchange Revenue:  Service Charges - Electricity:  Sales - Departmental ToU</t>
  </si>
  <si>
    <t>MANGAUNG SPORT STADIUMS HIGH SEASON OFF-PEAK</t>
  </si>
  <si>
    <t>MANGAUNG SPORT STADIUMS HIGH SEASON PEAK</t>
  </si>
  <si>
    <t>MANGAUNG SPORT STADIUMS HIGH SEASON STANDARD</t>
  </si>
  <si>
    <t>MLS001</t>
  </si>
  <si>
    <t>MANGAUNG SPORT STADIUMS LOW SEASON STANDARD</t>
  </si>
  <si>
    <t>MLP001</t>
  </si>
  <si>
    <t>MANGAUNG SPORT STADIUMS LOW SEASON PEAK</t>
  </si>
  <si>
    <t>MLO001</t>
  </si>
  <si>
    <t>MANGAUNG SPORT STADIUMS LOW SEASON OFF-PEAK</t>
  </si>
  <si>
    <t>0000-00-2-10-1110</t>
  </si>
  <si>
    <t>Exchange Revenue:  Service Charges - Electricity:  Sales - Industrial Directly from Distribution Centre (High Voltage)</t>
  </si>
  <si>
    <t>8 Tariffs not on scoa</t>
  </si>
  <si>
    <t>2015/6 mSCOA BUDGET SUBMITTED ON 31 MARCH 2015</t>
  </si>
  <si>
    <t>2016/17</t>
  </si>
  <si>
    <t>2017/18</t>
  </si>
  <si>
    <t>SALE OF ELECTRICITY - CONVENTIONAL</t>
  </si>
  <si>
    <t xml:space="preserve">SALE OF ELECTRICITY - PREPAID </t>
  </si>
  <si>
    <t>SALE OF ELECTRICITY -  STREET LIGHTS</t>
  </si>
  <si>
    <t xml:space="preserve">  SALE OF ELECTRICITY - FREE SERVICES RECOVERABLE               </t>
  </si>
  <si>
    <t>ITEMS</t>
  </si>
  <si>
    <t xml:space="preserve">Ivaan </t>
  </si>
  <si>
    <t>Need on the Tariffs in Rands 12% increase</t>
  </si>
  <si>
    <t>Tariff Code</t>
  </si>
  <si>
    <t>Tariff Description</t>
  </si>
  <si>
    <t xml:space="preserve"> </t>
  </si>
  <si>
    <t>MSBC01</t>
  </si>
  <si>
    <t>MSO01</t>
  </si>
  <si>
    <t>MANGAUNG SPORT STADIUMS BASIC CHARGE</t>
  </si>
  <si>
    <t>MANGAUNG SPORTS LOW DEMAND OFF-PEAK</t>
  </si>
  <si>
    <t>N</t>
  </si>
  <si>
    <t>MANGAUNG STREETLIGHTS</t>
  </si>
  <si>
    <t>ELSLC1</t>
  </si>
  <si>
    <t>MANGAUNG SPORTS STADIUMS LOW DEMAND STANDARD</t>
  </si>
  <si>
    <t>MSS01</t>
  </si>
  <si>
    <t>MANGAUNG SPORTS STADIUMS LOW DEMAND PEAK</t>
  </si>
  <si>
    <t>MSP01</t>
  </si>
  <si>
    <t>MANGAUNG ELECFLEX 1-ENERGY LOW DEMAND OFF-PEAK</t>
  </si>
  <si>
    <t>ELO001</t>
  </si>
  <si>
    <t>ELO004</t>
  </si>
  <si>
    <t>MANGAUNG BULK RESIDENTIAL 2-HIGH DEMAND OFF-PEAK</t>
  </si>
  <si>
    <t>ELHO04</t>
  </si>
  <si>
    <t>MANGAUNG BULK RESIDENTIAL 2 - LOW DEMAND STANDARD</t>
  </si>
  <si>
    <t>ELS004</t>
  </si>
  <si>
    <t>MANGAUNG BULK RESIDENTIAL 2 - LOW DEMAND PEAK</t>
  </si>
  <si>
    <t>ELP004</t>
  </si>
  <si>
    <t>MANGAUNG BULK RESIDENTIAL 2 - LOW DEMAND OFF-PEAK</t>
  </si>
  <si>
    <t>MANGAUNG BULK RESIDENTIAL 2 - HIGH DEMAND STANDARD</t>
  </si>
  <si>
    <t>ELHS04</t>
  </si>
  <si>
    <t>MANGAUNG BULK RESIDENTIAL 2 - HIGH DEMAND PEAK</t>
  </si>
  <si>
    <t>ELHP04</t>
  </si>
  <si>
    <t>CENTLEC ENERGY LOW DEMAND STANDARD</t>
  </si>
  <si>
    <t>CENS01</t>
  </si>
  <si>
    <t>CENTLEC ENERGY LOW DEMAND PEAK</t>
  </si>
  <si>
    <t>CENP01</t>
  </si>
  <si>
    <t>CENTLEC ENERGY LOW DEMAND OFF - PEAK</t>
  </si>
  <si>
    <t>CENO01</t>
  </si>
  <si>
    <t>BUSINESS MANGAUNG LOW DEMAND FLAT RATE</t>
  </si>
  <si>
    <t>ELSM64</t>
  </si>
  <si>
    <t>ELSM08</t>
  </si>
  <si>
    <t>ELSM04</t>
  </si>
  <si>
    <t>BUSINESS MANGAUNG HIGH DEMAND FLAT RATE</t>
  </si>
  <si>
    <t>EL0008</t>
  </si>
  <si>
    <t>EL0004</t>
  </si>
  <si>
    <t>BULK RESIDENTIAL2-MAXIMUM DEMAND</t>
  </si>
  <si>
    <t>ELK004</t>
  </si>
  <si>
    <t>BULK RESIDENTIAL 2 - SERVICE CHARGE</t>
  </si>
  <si>
    <t>ACC004</t>
  </si>
  <si>
    <t>Jul</t>
  </si>
  <si>
    <t>Aug</t>
  </si>
  <si>
    <t>Sep</t>
  </si>
  <si>
    <t>Oct</t>
  </si>
  <si>
    <t>Nov</t>
  </si>
  <si>
    <t>Dec</t>
  </si>
  <si>
    <t>Jan</t>
  </si>
  <si>
    <t>Feb</t>
  </si>
  <si>
    <t>May</t>
  </si>
  <si>
    <t>Jun</t>
  </si>
  <si>
    <t>CODES Summer</t>
  </si>
  <si>
    <t>CODES Winter</t>
  </si>
  <si>
    <t>ELH003</t>
  </si>
  <si>
    <t>INELSM01</t>
  </si>
  <si>
    <t>PP IBT  Indigents</t>
  </si>
  <si>
    <t>Homeflex 3 Phase</t>
  </si>
  <si>
    <t>Homeflex 1 Phase</t>
  </si>
  <si>
    <t>Comflex 3 Phase</t>
  </si>
  <si>
    <t>Comflex 1 Phase</t>
  </si>
  <si>
    <t>Ma</t>
  </si>
  <si>
    <t>Ap</t>
  </si>
  <si>
    <t>Pepayment</t>
  </si>
  <si>
    <t>Steetlights</t>
  </si>
  <si>
    <t>PP IBT Indigents</t>
  </si>
  <si>
    <t>PP Flat Business</t>
  </si>
  <si>
    <t>Rotary Flat Business</t>
  </si>
  <si>
    <t>Sports Stadiums on ToU</t>
  </si>
  <si>
    <t>Description Summer</t>
  </si>
  <si>
    <t>Description Winter</t>
  </si>
  <si>
    <t>04</t>
  </si>
  <si>
    <t>03</t>
  </si>
  <si>
    <t>01</t>
  </si>
  <si>
    <t>0</t>
  </si>
  <si>
    <t>ELO022</t>
  </si>
  <si>
    <t>5050022101100</t>
  </si>
  <si>
    <t>0.000000</t>
  </si>
  <si>
    <t>0.00</t>
  </si>
  <si>
    <t>VATNAL</t>
  </si>
  <si>
    <t>NALEDI ELECFLEX 2-ENERGY HIGH DEMAND OFF-PEAK</t>
  </si>
  <si>
    <t>20130701</t>
  </si>
  <si>
    <t>ELHO22</t>
  </si>
  <si>
    <t>EL</t>
  </si>
  <si>
    <t>CENTLE</t>
  </si>
  <si>
    <t>NALEDI STREETLIGHTS</t>
  </si>
  <si>
    <t>ENSL01</t>
  </si>
  <si>
    <t>NALEDI STADIUMS ENERGY LOW DEMAND STANDARD</t>
  </si>
  <si>
    <t>NSS001</t>
  </si>
  <si>
    <t>NALEDI STADIUMS ENERGY LOW DEMAND OFF-PEAK</t>
  </si>
  <si>
    <t>NSO001</t>
  </si>
  <si>
    <t>NALEDI STADIUMS ENERGY HIGH DEMAND STANDARD</t>
  </si>
  <si>
    <t>NSHS01</t>
  </si>
  <si>
    <t>NSP001</t>
  </si>
  <si>
    <t>NALEDI STADIUMS ENERGY HIGH DEMAND PEAK</t>
  </si>
  <si>
    <t>NSHP01</t>
  </si>
  <si>
    <t>NALEDI STADIUMS ENERGY HIGH DEMAND OFF-PEAK</t>
  </si>
  <si>
    <t>NSHO01</t>
  </si>
  <si>
    <t>NALEDI SPORTS STADIUMS ENERGY LOW DEMAND PEAK</t>
  </si>
  <si>
    <t>NALEDI SPORTS STADIUMS -BASIC CHARGE</t>
  </si>
  <si>
    <t>NSBC01</t>
  </si>
  <si>
    <t>ELO914</t>
  </si>
  <si>
    <t>NALEDI HIGH DEMAND OFF-PEAK</t>
  </si>
  <si>
    <t>EHO914</t>
  </si>
  <si>
    <t>NALEDI ELECFLEX1-ENERGY LOW DEMAND PEAK</t>
  </si>
  <si>
    <t>ELP021</t>
  </si>
  <si>
    <t>ELS021</t>
  </si>
  <si>
    <t>NALEDI ELECFLEX1-ENERGY HIGH DEMAND STANDARD</t>
  </si>
  <si>
    <t>ELHS21</t>
  </si>
  <si>
    <t>ELO021</t>
  </si>
  <si>
    <t>NALEDI ELECFLEX1-ENERGY HIGH DEMAND OFF-PEAK</t>
  </si>
  <si>
    <t>ELHO21</t>
  </si>
  <si>
    <t>NALEDI ELECFLEX1 ENERGY LOW DEMAND STANDARD</t>
  </si>
  <si>
    <t>NALEDI ELECFLEX 3 ENERGY LOW DEMAND STANDARD</t>
  </si>
  <si>
    <t>ELS023</t>
  </si>
  <si>
    <t>NALEDI ELECFLEX 3 ENERGY LOW DEMAND PEAK</t>
  </si>
  <si>
    <t>ELP023</t>
  </si>
  <si>
    <t>NALEDI ELECFLEX 3 ENERGY LOW DEMAND OFF-PEAK</t>
  </si>
  <si>
    <t>ELO023</t>
  </si>
  <si>
    <t>NALEDI ELECFLEX 3 ENERGY HIGH DEMAND STANDARD</t>
  </si>
  <si>
    <t>ELHS23</t>
  </si>
  <si>
    <t>NALEDI ELECFLEX 3 ENERGY HIGH DEMAND PEAK</t>
  </si>
  <si>
    <t>ELHP23</t>
  </si>
  <si>
    <t>NALEDI ELECFLEX 3 ENERGY HIGH DEMAND OFF-PEAK</t>
  </si>
  <si>
    <t>ELHO23</t>
  </si>
  <si>
    <t>NALEDI ELECFLEX 3 -ACCESS CHARGE</t>
  </si>
  <si>
    <t>ACC023</t>
  </si>
  <si>
    <t>NALEDI ELECFLEX 2-MAXIMUM DEMAND KVA</t>
  </si>
  <si>
    <t>ELK022</t>
  </si>
  <si>
    <t>NALEDI ELECFLEX 2-ENERGY LOW DEMAND PEAK</t>
  </si>
  <si>
    <t>ELP022</t>
  </si>
  <si>
    <t>NALEDI ELECFLEX 2-ENERGY LOW DEMAND OFF-PEAK</t>
  </si>
  <si>
    <t>ELS022</t>
  </si>
  <si>
    <t>NALEDI ELECFLEX 2-ENERGY HIGH DEMAND STANDARD</t>
  </si>
  <si>
    <t>ELHS22</t>
  </si>
  <si>
    <t>NALEDI ELECFLEX 2-ENERGY HIGH DEMAND PEAK</t>
  </si>
  <si>
    <t>ELHP22</t>
  </si>
  <si>
    <t>NALEDI ELECFLEX 2 - ACCESS CHARGE</t>
  </si>
  <si>
    <t>ACC022</t>
  </si>
  <si>
    <t>NALEDI ELECFLEX 1-ENERGY LOW DEMAND OFF-PEAK</t>
  </si>
  <si>
    <t>NALEDI ELECFLEX 1-ACCESS CHARGE</t>
  </si>
  <si>
    <t>ACC021</t>
  </si>
  <si>
    <t>NALEDI ELECFLEX 1 -MAXIMUM DEMAND KVA</t>
  </si>
  <si>
    <t>ELK021</t>
  </si>
  <si>
    <t>NALEDI ELECFLEX 1 -ENERGY HIGH DEMAND PEAK</t>
  </si>
  <si>
    <t>ELHP21</t>
  </si>
  <si>
    <t>NALEDI ELCFLEX 2-ENERGY LOW DEMAND STANDARD</t>
  </si>
  <si>
    <t>NALEDI DOMESTIC LOW DEMAND IBT</t>
  </si>
  <si>
    <t>EL91S1</t>
  </si>
  <si>
    <t>NALEDI DOMESTIC</t>
  </si>
  <si>
    <t>NALEDI DOMESTIC HIGH DEMAND IBT</t>
  </si>
  <si>
    <t>EL9101</t>
  </si>
  <si>
    <t>NALEDI DEPARTMENTAL ENERGY LOW DEMAND STANDARD</t>
  </si>
  <si>
    <t>NALEDI DEPARTMENTAL ENERGY LOW DEMAND PEAK</t>
  </si>
  <si>
    <t>NALEDI DEPARTMENTAL ENERGY LOW DEMAND OFF-PEAK</t>
  </si>
  <si>
    <t>NALEDI DEPARTMENTAL ENERGY HIGH DEMAND STANDARD</t>
  </si>
  <si>
    <t>CEHS01</t>
  </si>
  <si>
    <t>NALEDI DEPARTMENTAL ENERGY HIGH DEMAND PEAK</t>
  </si>
  <si>
    <t>CEHP01</t>
  </si>
  <si>
    <t>NALEDI DEPARTMENTAL ENERGY HIGH DEMAND OFF-PEAK</t>
  </si>
  <si>
    <t>CEHO01</t>
  </si>
  <si>
    <t>NALEDI COMMFLEX LOW DEMAND STANDARD</t>
  </si>
  <si>
    <t>ENCLDS</t>
  </si>
  <si>
    <t>NALEDI COMMFLEX LOW DEMAND PEAK</t>
  </si>
  <si>
    <t>ENCLDP</t>
  </si>
  <si>
    <t>NALEDI COMMFLEX LOW DEMAND OFF-PEAK</t>
  </si>
  <si>
    <t>ENCLDO</t>
  </si>
  <si>
    <t>NALEDI COMMFLEX HIGH DEMAND STANDARD</t>
  </si>
  <si>
    <t>ENCHDS</t>
  </si>
  <si>
    <t>NALEDI COMMFLEX HIGH DEMAND OFF-PEAK</t>
  </si>
  <si>
    <t>ENCHDO</t>
  </si>
  <si>
    <t>NALEDI COMMFLEX HIGH  DEMAND PEAK</t>
  </si>
  <si>
    <t>ENCHDP</t>
  </si>
  <si>
    <t>NALEDI COMMFLEX BASIC CHARGE</t>
  </si>
  <si>
    <t>ENCEBC</t>
  </si>
  <si>
    <t>NALEDI BUSINESS LOW DEMAND FLAT RATE</t>
  </si>
  <si>
    <t>EL91S5</t>
  </si>
  <si>
    <t>NALEDI BUSINESS HIGH DEMAND FLAT RATE</t>
  </si>
  <si>
    <t>EL9105</t>
  </si>
  <si>
    <t>NALEDI BULK RESIDENTIAL 3-MAXIMUM DEMAND</t>
  </si>
  <si>
    <t>ELK915</t>
  </si>
  <si>
    <t>NALEDI BULK RESIDENTIAL 3-LOW DEMMAND STANDARD</t>
  </si>
  <si>
    <t>ELS915</t>
  </si>
  <si>
    <t>NALEDI BULK RESIDENTIAL 3-LOW DEMAND PEAK</t>
  </si>
  <si>
    <t>ELP915</t>
  </si>
  <si>
    <t>NALEDI BULK RESIDENTIAL 3-LOW DEMAND OFF-PEAK</t>
  </si>
  <si>
    <t>ELO915</t>
  </si>
  <si>
    <t>NALEDI BULK RESIDENTIAL 3-HIGH DEMAND STANDARD</t>
  </si>
  <si>
    <t>EHS915</t>
  </si>
  <si>
    <t>NALEDI BULK RESIDENTIAL 3-HIGH DEMAND PEAK</t>
  </si>
  <si>
    <t>EHP915</t>
  </si>
  <si>
    <t>NALEDI BULK RESIDENTIAL 3-HIGH DEMAND OFF-PEAK</t>
  </si>
  <si>
    <t>EHO915</t>
  </si>
  <si>
    <t>NALEDI BULK RESIDENTIAL 3-ACCESS CHARGE</t>
  </si>
  <si>
    <t>ACC915</t>
  </si>
  <si>
    <t>NALEDI BULK RESIDENTIAL 2-LOW DEMAND STANDARD</t>
  </si>
  <si>
    <t>ELS914</t>
  </si>
  <si>
    <t>NALEDI BULK RESIDENTIAL 2-LOW DEMAND PEAK</t>
  </si>
  <si>
    <t>ELP914</t>
  </si>
  <si>
    <t>NALEDI BULK RESIDENTIAL 2-LOW DEMAND OFF-PEAK</t>
  </si>
  <si>
    <t>NALEDI BULK RESIDENTIAL 2-HIGH DEMAND STANDARD</t>
  </si>
  <si>
    <t>EHS914</t>
  </si>
  <si>
    <t>NALEDI BULK RESIDENTIAL 2-HIGH DEMAND PEAK</t>
  </si>
  <si>
    <t>EHP914</t>
  </si>
  <si>
    <t>NALEDI BULK RESIDENTIAL 2-ACCESS CHARGE</t>
  </si>
  <si>
    <t>ACC914</t>
  </si>
  <si>
    <t>NALEDI BULK RESIDENTIAL 2 MAXIMUM DEMAND</t>
  </si>
  <si>
    <t>ELK914</t>
  </si>
  <si>
    <t>NAL ELECFLEX 3 MAXIMUM DEMAND KVA</t>
  </si>
  <si>
    <t>ELK023</t>
  </si>
  <si>
    <t>5050032101100</t>
  </si>
  <si>
    <t>VATMOH</t>
  </si>
  <si>
    <t>MOHOKARE STREETLIGHTS</t>
  </si>
  <si>
    <t>EMSL01</t>
  </si>
  <si>
    <t>MOHOKARE SPORTS STADIUMS ENERGY LOW DEMAND STANDAR</t>
  </si>
  <si>
    <t>MSS001</t>
  </si>
  <si>
    <t>MOHOKARE SPORTS STADIUMS - HIGH DEMAND STANDARD</t>
  </si>
  <si>
    <t>MSHS01</t>
  </si>
  <si>
    <t>MSP001</t>
  </si>
  <si>
    <t>MOHOKARE SPORTS STADIUMS - ENERGY HIGH DEM PEAK</t>
  </si>
  <si>
    <t>MSHP01</t>
  </si>
  <si>
    <t>MSO001</t>
  </si>
  <si>
    <t>MOHOKARE SPORTS STADIUMS - ENERGY HIGH DEM O-PEAK</t>
  </si>
  <si>
    <t>MSHO01</t>
  </si>
  <si>
    <t>MOHOKARE SPORTS STADIUM LOW DEMAND PEAK</t>
  </si>
  <si>
    <t>MOHOKARE SPORTS STADIUM LOW DEMAND OFF-PEAK</t>
  </si>
  <si>
    <t>MOHOKARE ELECFLEX1 -MAXIMUM EMAND KVA</t>
  </si>
  <si>
    <t>ELK031</t>
  </si>
  <si>
    <t>MOHOKARE ELECFLEX1 -ACCESS CHARGE</t>
  </si>
  <si>
    <t>ACC031</t>
  </si>
  <si>
    <t>MOHOKARE ELECFLEX 3 MAXIMUM DEMAND KVA</t>
  </si>
  <si>
    <t>ELK033</t>
  </si>
  <si>
    <t>MOHOKARE ELECFLEX 3 ENERGY LOW DEMAND STANDARD</t>
  </si>
  <si>
    <t>ELS033</t>
  </si>
  <si>
    <t>MOHOKARE ELECFLEX 3 ENERGY LOW DEMAND PEAK</t>
  </si>
  <si>
    <t>ELP033</t>
  </si>
  <si>
    <t>MOHOKARE ELECFLEX 3 ENERGY LOW DEMAND OFF-PEAK</t>
  </si>
  <si>
    <t>ELO033</t>
  </si>
  <si>
    <t>MOHOKARE ELECFLEX 3 ENERGY HIGH DEMAND STANDARD</t>
  </si>
  <si>
    <t>ELHS33</t>
  </si>
  <si>
    <t>MOHOKARE ELECFLEX 3 ENERGY HIGH DEMAND PEAK</t>
  </si>
  <si>
    <t>ELHP33</t>
  </si>
  <si>
    <t>MOHOKARE ELECFLEX 3 ENERGY HIGH DEMAND OFF-PEAK</t>
  </si>
  <si>
    <t>ELHO33</t>
  </si>
  <si>
    <t>MOHOKARE ELECFLEX 3 -ACCESS CHARGE</t>
  </si>
  <si>
    <t>ACC033</t>
  </si>
  <si>
    <t>MOHOKARE ELECFLEX 2-MAXIMUM DEMAND KVA</t>
  </si>
  <si>
    <t>ELK032</t>
  </si>
  <si>
    <t>MOHOKARE ELECFLEX 2-ENERGY LOW DEMAND STANDARD</t>
  </si>
  <si>
    <t>ELS032</t>
  </si>
  <si>
    <t>MOHOKARE ELECFLEX 2-ENERGY LOW DEMAND PEAK</t>
  </si>
  <si>
    <t>ELP032</t>
  </si>
  <si>
    <t>MOHOKARE ELECFLEX 2-ENERGY LOW DEMAND OFF-PEAK</t>
  </si>
  <si>
    <t>ELO032</t>
  </si>
  <si>
    <t>MOHOKARE ELECFLEX 2-ENERGY HIGH DEMAND STANDARD</t>
  </si>
  <si>
    <t>ELHS32</t>
  </si>
  <si>
    <t>MOHOKARE ELECFLEX 2-ENERGY HIGH DEMAND PEAK</t>
  </si>
  <si>
    <t>ELHP32</t>
  </si>
  <si>
    <t>MOHOKARE ELECFLEX 2-ENERGY HIGH DEMAND OFF-PEAK</t>
  </si>
  <si>
    <t>ELHO32</t>
  </si>
  <si>
    <t>MOHOKARE ELECFLEX 2 -ACCESS CHARGE</t>
  </si>
  <si>
    <t>ACC032</t>
  </si>
  <si>
    <t>MOHOKARE ELECFLEX 1 ENERGY LOW DEMAND OFF-PEAK</t>
  </si>
  <si>
    <t>ELO031</t>
  </si>
  <si>
    <t>ELS031</t>
  </si>
  <si>
    <t>MOHOKARE ELECFLEX 1 ENERGY HIGH DEMAND STANDARD</t>
  </si>
  <si>
    <t>ELHS31</t>
  </si>
  <si>
    <t>ELP031</t>
  </si>
  <si>
    <t>MOHOKARE ELECFLEX 1 ENERGY HIGH DEMAND PEAK</t>
  </si>
  <si>
    <t>ELHP31</t>
  </si>
  <si>
    <t>MOHOKARE ELECFLEX 1 ENERGY HIGH DEMAND OFF-PEAK</t>
  </si>
  <si>
    <t>ELHO31</t>
  </si>
  <si>
    <t>MOHOKARE ELECFLEX 1 - ENERGY LOW DEMAND STANDARD</t>
  </si>
  <si>
    <t>MOHOKARE ELECFLEX 1 - ENERGY LOW DEMAND PEAK</t>
  </si>
  <si>
    <t>MOHOKARE DOMESTIC LOW DEMAND</t>
  </si>
  <si>
    <t>EL92S1</t>
  </si>
  <si>
    <t>MOHOKARE DOMESTIC HIGH DEMAND</t>
  </si>
  <si>
    <t>EL9201</t>
  </si>
  <si>
    <t>CEMP01</t>
  </si>
  <si>
    <t>MOHOKARE DEPARTMENTAL ENERGY HIGH DEMAND PEAK</t>
  </si>
  <si>
    <t>CMHP01</t>
  </si>
  <si>
    <t>MOHOKARE DEPARMENTAL ENERGY LOW DEMAND STANDARD</t>
  </si>
  <si>
    <t>CEMS01</t>
  </si>
  <si>
    <t>MOHOKARE DEPARMENTAL ENERGY LOW DEMAND PEAK</t>
  </si>
  <si>
    <t>MOHOKARE DEPARMENTAL ENERGY LOW DEMAND OFF-PEAK</t>
  </si>
  <si>
    <t>CEMO01</t>
  </si>
  <si>
    <t>MOHOKARE DEPARMENTAL ENERGY HIGH DEMAND STANDARD</t>
  </si>
  <si>
    <t>CMHS01</t>
  </si>
  <si>
    <t>MOHOKARE DEPARMENTAL ENERGY HIGH DEMAND OFF-PEAK</t>
  </si>
  <si>
    <t>CMHO01</t>
  </si>
  <si>
    <t>MOHOKARE COMMFLEX LOW DEMAND STANDARD</t>
  </si>
  <si>
    <t>EMCLDS</t>
  </si>
  <si>
    <t>MOHOKARE COMMFLEX LOW DEMAND PEAK</t>
  </si>
  <si>
    <t>EMCLDP</t>
  </si>
  <si>
    <t>MOHOKARE COMMFLEX LOW DEMAND OFF-PEAK</t>
  </si>
  <si>
    <t>EMCLDO</t>
  </si>
  <si>
    <t>MOHOKARE COMMFLEX HIGH DEMAND STANDARD</t>
  </si>
  <si>
    <t>EMCHDS</t>
  </si>
  <si>
    <t>MOHOKARE COMMFLEX HIGH DEMAND PEAK</t>
  </si>
  <si>
    <t>EMCHDP</t>
  </si>
  <si>
    <t>MOHOKARE COMMFLEX HIGH DEMAND OFF-PEAK</t>
  </si>
  <si>
    <t>EMCHDO</t>
  </si>
  <si>
    <t>MOHOKARE COMMFLEX BASIC CHARGE</t>
  </si>
  <si>
    <t>EMCEBC</t>
  </si>
  <si>
    <t>MOHOKARE BUSNIESS LOW DEMAND FLAT RATE</t>
  </si>
  <si>
    <t>EL92S5</t>
  </si>
  <si>
    <t>MOHOKARE BUSINESS HIGH DEMAND FLAT RATE</t>
  </si>
  <si>
    <t>EL9205</t>
  </si>
  <si>
    <t>MOHOKARE BULK RESIDENTIAL 3-MAXIMUM DEMAND</t>
  </si>
  <si>
    <t>ELK924</t>
  </si>
  <si>
    <t>MOHOKARE BULK RESIDENTIAL 3-LOW DEMAND OFF-PEAK</t>
  </si>
  <si>
    <t>ELO924</t>
  </si>
  <si>
    <t>ELS924</t>
  </si>
  <si>
    <t>MOHOKARE BULK RESIDENTIAL 3-HIGH DEMAND STANDARD</t>
  </si>
  <si>
    <t>EHS924</t>
  </si>
  <si>
    <t>ELP924</t>
  </si>
  <si>
    <t>MOHOKARE BULK RESIDENTIAL 3-HIGH DEMAND PEAK</t>
  </si>
  <si>
    <t>EHP924</t>
  </si>
  <si>
    <t>MOHOKARE BULK RESIDENTIAL 3-ACCESS CHARGE</t>
  </si>
  <si>
    <t>ACC924</t>
  </si>
  <si>
    <t>MOHOKARE BULK RESIDENTIAL 3- LOW DEMAND STANDARD</t>
  </si>
  <si>
    <t>MOHOKARE BULK RESIDENTIAL 3- LOW DEMAND PEAK</t>
  </si>
  <si>
    <t>MOHOKARE BULK RESIDENTIAL 3 HIGH DEMAND OFF-PEAK</t>
  </si>
  <si>
    <t>EHO924</t>
  </si>
  <si>
    <t>MOHOKARE BULK RESIDENTIAL 2-LOW DEMAND STANDARD</t>
  </si>
  <si>
    <t>ELS925</t>
  </si>
  <si>
    <t>MOHOKARE BULK RESIDENTIAL 2-LOW DEMAND PEAK</t>
  </si>
  <si>
    <t>ELP925</t>
  </si>
  <si>
    <t>MOHOKARE BULK RESIDENTIAL 2-LOW DEMAND OFF-PEAK</t>
  </si>
  <si>
    <t>ELO925</t>
  </si>
  <si>
    <t>MOHOKARE BULK RESIDENTIAL 2-HIGH DEMAND STANDARD</t>
  </si>
  <si>
    <t>EHS925</t>
  </si>
  <si>
    <t>MOHOKARE BULK RESIDENTIAL 2-HIGH DEMAND PEAK</t>
  </si>
  <si>
    <t>EHP925</t>
  </si>
  <si>
    <t>MOHOKARE BULK RESIDENTIAL 2-ACCESS CHARGE</t>
  </si>
  <si>
    <t>ACC925</t>
  </si>
  <si>
    <t>MOHOKARE BULK RESIDENTIAL 2 MAXIMUM DEMAND</t>
  </si>
  <si>
    <t>ELK925</t>
  </si>
  <si>
    <t>MOHOKARE BULK RESIDENTIAL 2 HIGH DEMAND OFF-PEAK</t>
  </si>
  <si>
    <t>EHO925</t>
  </si>
  <si>
    <t>5012042101100</t>
  </si>
  <si>
    <t>VATEL</t>
  </si>
  <si>
    <t>MANGAUNG SPORTS STADIUMS HIGH DEMAND STANDARD</t>
  </si>
  <si>
    <t>MANGAUNG SPORTS STADIUMS HIGH DEMAND PEAK</t>
  </si>
  <si>
    <t>MANGAUNG SPORTS STADIUMS HIGH DEMAND OFF-PEAK</t>
  </si>
  <si>
    <t>MANGAUNG INDIGENT LOW - FREE BASIC ELECTRICITY</t>
  </si>
  <si>
    <t>MANGAUNG INDIGENT HIGH - FREE BASIC ELECTRICITY</t>
  </si>
  <si>
    <t>MANGAUNG HOMEFLEX THREE PH LOW DEMAND STANDARD</t>
  </si>
  <si>
    <t>MANGAUNG HOMEFLEX THREE PH LOW DEMAND PEAK</t>
  </si>
  <si>
    <t>MANGAUNG HOMEFLEX THREE PH LOW DEMAND OFF-PEAK</t>
  </si>
  <si>
    <t>MANGAUNG HOMEFLEX THREE PH HIGH DEMAND STANDARD</t>
  </si>
  <si>
    <t>MANGAUNG HOMEFLEX THREE PH HIGH DEMAND PEAK</t>
  </si>
  <si>
    <t>MANGAUNG HOMEFLEX THREE PH HIGH DEMAND OFF-PEAK</t>
  </si>
  <si>
    <t>MANGAUNG HOMEFLEX SINGLE PH LOW DEMAND STANDARD</t>
  </si>
  <si>
    <t>MANGAUNG HOMEFLEX SINGLE PH LOW DEMAND OFF-PEAK</t>
  </si>
  <si>
    <t>MANGAUNG HOMEFLEX SINGLE PH LOW DEMAND  PEAK</t>
  </si>
  <si>
    <t>MANGAUNG HOMEFLEX SINGLE PH HIGH DEMAND STANDARD</t>
  </si>
  <si>
    <t>MANGAUNG HOMEFLEX SINGLE PH HIGH DEMAND PEAK</t>
  </si>
  <si>
    <t>MANGAUNG HOMEFLEX SINGLE PH HIGH DEMAND OFF-PEAK</t>
  </si>
  <si>
    <t>MANGAUNG HOMEFLEX BASIC CHARGE-SINGLE PHASE</t>
  </si>
  <si>
    <t>MANGAUNG HOMEFLEX BASIC CHARGE-3 PHASE</t>
  </si>
  <si>
    <t>MANGAUNG ELECFLEX 3-ENERGY LOW DEMAND STANDARD</t>
  </si>
  <si>
    <t>MANGAUNG ELECFLEX 3-ENERGY LOW DEMAND PEAK</t>
  </si>
  <si>
    <t>MANGAUNG ELECFLEX 3-ENERGY LOW DEMAND OFF-PEAK</t>
  </si>
  <si>
    <t>MANGAUNG ELECFLEX 3-ENERGY HIGH DEMAND STANDARD</t>
  </si>
  <si>
    <t>MANGAUNG ELECFLEX 3-ENERGY HIGH DEMAND PEAK</t>
  </si>
  <si>
    <t>MANGAUNG ELECFLEX 3-ENERGY HIGH DEMAND OFF PEAK</t>
  </si>
  <si>
    <t>MANGAUNG ELECFLEX 3 MAXIMUM DEMAND KVA</t>
  </si>
  <si>
    <t>MANGAUNG ELECFLEX 3 ACCESS CHARGE</t>
  </si>
  <si>
    <t>MANGAUNG ELECFLEX 2-ENERGY LOW DEMAND STANDARD</t>
  </si>
  <si>
    <t>MANGAUNG ELECFLEX 2-ENERGY LOW DEMAND PEAK</t>
  </si>
  <si>
    <t>MANGAUNG ELECFLEX 2-ENERGY LOW DEMAND OFF-PEAK</t>
  </si>
  <si>
    <t>MANGAUNG ELECFLEX 2-ENERGY HIGH DEMAND STANDARD</t>
  </si>
  <si>
    <t>MANGAUNG ELECFLEX 2-ENERGY HIGH DEMAND PEAK</t>
  </si>
  <si>
    <t>MANGAUNG ELECFLEX 2- SERVICE CHARGE</t>
  </si>
  <si>
    <t>MANGAUNG ELECFLEX 2 ACCESS CHARGE</t>
  </si>
  <si>
    <t>MANGAUNG ELECFLEX 2 - ENERGY HIGH DEMAND OFF-PEAK</t>
  </si>
  <si>
    <t>MANGAUNG ELECFLEX 1-ENERGY LOW DEMAND STANDARD</t>
  </si>
  <si>
    <t>MANGAUNG ELECFLEX 1-ENERGY LOW DEMAND PEAK</t>
  </si>
  <si>
    <t>MANGAUNG ELECFLEX 1-ENERGY HIGH DEMAND STANDARD</t>
  </si>
  <si>
    <t>MANGAUNG ELECFLEX 1-ENERGY HIGH DEMAND PEAK</t>
  </si>
  <si>
    <t>MANGAUNG ELECFLEX 1-ENERGY HIGH DEMAND OFF PEAK</t>
  </si>
  <si>
    <t>MANGAUNG ELECFLEX 1- SERVICE CHARGE</t>
  </si>
  <si>
    <t>MANGAUNG ELECFLEX 1 - ACCESS CHARGE</t>
  </si>
  <si>
    <t>MANGAUNG COMMFLEX THREE PH LOW DEMAND STANDARD</t>
  </si>
  <si>
    <t>MANGAUNG COMMFLEX THREE PH LOW DEMAND PEAK</t>
  </si>
  <si>
    <t>MANGAUNG COMMFLEX THREE PH LOW DEMAND OFF-PEAK</t>
  </si>
  <si>
    <t>MANGAUNG COMMFLEX THREE PH HIGH DEMAND STANDARD</t>
  </si>
  <si>
    <t>MANGAUNG COMMFLEX THREE PH HIGH DEMAND PEAK</t>
  </si>
  <si>
    <t>MANGAUNG COMMFLEX THREE PH HIGH DEMAND OFF-PEAK</t>
  </si>
  <si>
    <t>MANGAUNG COMMFLEX SINGLE PHASE HIGH DEMAND OFF-PEA</t>
  </si>
  <si>
    <t>MANGAUNG COMMFLEX SINGLE PH LOW DEMAND STANDARD</t>
  </si>
  <si>
    <t>MANGAUNG COMMFLEX SINGLE PH LOW DEMAND PEAK</t>
  </si>
  <si>
    <t>MANGAUNG COMMFLEX SINGLE PH LOW DEMAND OFF-PEAK</t>
  </si>
  <si>
    <t>MANGAUNG COMMFLEX SINGLE PH HIGH DEMAND STANDARD</t>
  </si>
  <si>
    <t>MANGAUNG COMMFLEX SINGLE PH HIGH DEMAND PEAK</t>
  </si>
  <si>
    <t>MANGAUNG COMMFLEX BASIC CHARGE-SINGLE PHASE</t>
  </si>
  <si>
    <t>MANGAUNG COMMFLEX BASIC CHARGE-3 PHASE</t>
  </si>
  <si>
    <t>MANGAUNG BULK RESIDENTIAL 3 - LOW DEMAND STANDARD</t>
  </si>
  <si>
    <t>MANGAUNG BULK RESIDENTIAL 3 - LOW DEMAND PEAK</t>
  </si>
  <si>
    <t>MANGAUNG BULK RESIDENTIAL 3 - LOW DEMAND OFF-PEAK</t>
  </si>
  <si>
    <t>MANGAUNG BULK RESIDENTIAL 3 - HIGH DEMAND STANDARD</t>
  </si>
  <si>
    <t>MANGAUNG BULK RESIDENTIAL 3 - HIGH DEMAND PEAK</t>
  </si>
  <si>
    <t>MANGAUNG BULK RESIDENTIAL 3 - HIGH DEMAND OFF-PEAK</t>
  </si>
  <si>
    <t>5050012101100</t>
  </si>
  <si>
    <t>VATKOP</t>
  </si>
  <si>
    <t>KOPANONG STREET LIGHT</t>
  </si>
  <si>
    <t>EKSC01</t>
  </si>
  <si>
    <t>KSP001</t>
  </si>
  <si>
    <t>KOPANONG STADIUMS -ENERGY HIGH DEMAND PEAK</t>
  </si>
  <si>
    <t>KSHP01</t>
  </si>
  <si>
    <t>KOPANONG SPORTS STADIUMS -ENERGY LOW DEMAND STAND</t>
  </si>
  <si>
    <t>KSS001</t>
  </si>
  <si>
    <t>KOPANONG SPORTS STADIUMS -ENERGY LOW DEMAND PEAK</t>
  </si>
  <si>
    <t>KOPANONG SPORTS STADIUMS -ENERGY LOW DEMAND OFF-PE</t>
  </si>
  <si>
    <t>KSO001</t>
  </si>
  <si>
    <t>KOPANONG SPORTS STADIUMS -ENERGY HIGH DEMAND STAND</t>
  </si>
  <si>
    <t>KSHS01</t>
  </si>
  <si>
    <t>KOPANONG SPORTS STADIUMS -ENERGY HIGH DEMAND OFF-</t>
  </si>
  <si>
    <t>KSHO01</t>
  </si>
  <si>
    <t>KOPANONG SPORTS STADIUMS BASIC CHARGE</t>
  </si>
  <si>
    <t>KSBC01</t>
  </si>
  <si>
    <t>KOPANONG ELECFLEX 3 MAXIMUM DEMAND KVA</t>
  </si>
  <si>
    <t>ELK013</t>
  </si>
  <si>
    <t>KOPANONG ELECFLEX 3 ENERGY LOW DEMAND STANDARD</t>
  </si>
  <si>
    <t>ELS013</t>
  </si>
  <si>
    <t>KOPANONG ELECFLEX 3 ENERGY LOW DEMAND PEAK</t>
  </si>
  <si>
    <t>ELP013</t>
  </si>
  <si>
    <t>KOPANONG ELECFLEX 3 ENERGY LOW DEMAND OFF-PEAK</t>
  </si>
  <si>
    <t>ELO013</t>
  </si>
  <si>
    <t>KOPANONG ELECFLEX 3 ENERGY HIGH DEMAND STANDARD</t>
  </si>
  <si>
    <t>ELHS13</t>
  </si>
  <si>
    <t>KOPANONG ELECFLEX 3 ENERGY HIGH DEMAND PEAK</t>
  </si>
  <si>
    <t>ELHP13</t>
  </si>
  <si>
    <t>KOPANONG ELECFLEX 3 ENERGY HIGH DEMAND OFF-PEAK</t>
  </si>
  <si>
    <t>ELHO13</t>
  </si>
  <si>
    <t>KOPANONG ELECFLEX 3 ACCESS CHARGE</t>
  </si>
  <si>
    <t>ACC013</t>
  </si>
  <si>
    <t>KOPANONG ELECFLEX 2 ENERGY LOW DEMAND PEAK</t>
  </si>
  <si>
    <t>ELP012</t>
  </si>
  <si>
    <t>KOPANONG ELECFLEX 2 ENERGY LOW DEMAND OFF-PEAK</t>
  </si>
  <si>
    <t>ELO012</t>
  </si>
  <si>
    <t>KOPANONG ELECFLEX 2 ENERGY HIGH DEMAND PEAK</t>
  </si>
  <si>
    <t>ELHP12</t>
  </si>
  <si>
    <t>KOPANONG ELECFLEX 2 ENERGY HIGH DEMAND OFF-PEAK</t>
  </si>
  <si>
    <t>ELHO12</t>
  </si>
  <si>
    <t>KOPANONG ELECFLEX 2 - MAXIMUM DEMAND KVA</t>
  </si>
  <si>
    <t>ELK012</t>
  </si>
  <si>
    <t>KOPANONG ELECFLEX 2 - ACCESS CHARGE</t>
  </si>
  <si>
    <t>ACC012</t>
  </si>
  <si>
    <t>KOPANONG ELECFLEX 1-ENERGY LOW DEMAND STANDARD</t>
  </si>
  <si>
    <t>ELS011</t>
  </si>
  <si>
    <t>KOPANONG ELECFLEX 1-ENERGY LOW DEMAND PEAK</t>
  </si>
  <si>
    <t>ELP011</t>
  </si>
  <si>
    <t>ELO011</t>
  </si>
  <si>
    <t>KOPANONG ELECFLEX 1-ENERGY HIGH OFF-PEAK</t>
  </si>
  <si>
    <t>ELHO11</t>
  </si>
  <si>
    <t>KOPANONG ELECFLEX 1-ACCESS CHARGE</t>
  </si>
  <si>
    <t>ACC011</t>
  </si>
  <si>
    <t>KOPANONG ELECFLEX 1 -MAXIMUM DEMAND KVA</t>
  </si>
  <si>
    <t>ELK011</t>
  </si>
  <si>
    <t>KOPANONG DEPARTMENTAL ENERGY LOW DEMAND STANDARD</t>
  </si>
  <si>
    <t>CEKS01</t>
  </si>
  <si>
    <t>KOPANONG DEPARTMENTAL ENERGY LOW DEMAND PEAK</t>
  </si>
  <si>
    <t>CEKP01</t>
  </si>
  <si>
    <t>KOPANONG DEPARTMENTAL ENERGY LOW DEMAND OFF-PEAK</t>
  </si>
  <si>
    <t>CEKO01</t>
  </si>
  <si>
    <t>KOPANONG DEPARTMENTAL ENERGY HIGH DEMAND STANDARD</t>
  </si>
  <si>
    <t>CKHS01</t>
  </si>
  <si>
    <t>KOPANONG DEPARTMENTAL ENERGY HIGH DEMAND PEAK</t>
  </si>
  <si>
    <t>CKHP01</t>
  </si>
  <si>
    <t>KOPANONG COMMFLEX LOW DEMAND STANDARD</t>
  </si>
  <si>
    <t>EKCLDS</t>
  </si>
  <si>
    <t>KOPANONG COMMFLEX LOW DEMAND PEAK</t>
  </si>
  <si>
    <t>EKCLDP</t>
  </si>
  <si>
    <t>KOPANONG COMMFLEX LOW DEMAND OFF-PEAK</t>
  </si>
  <si>
    <t>EKCLDO</t>
  </si>
  <si>
    <t>KOPANONG COMMFLEX HIGH DEMAND STANDARD</t>
  </si>
  <si>
    <t>EKCHDS</t>
  </si>
  <si>
    <t>KOPANONG COMMFLEX HIGH DEMAND PEAK</t>
  </si>
  <si>
    <t>EKCHDP</t>
  </si>
  <si>
    <t>KOPANONG COMMFLEX HIGH DEMAND OFF-PEAK</t>
  </si>
  <si>
    <t>EKCHDO</t>
  </si>
  <si>
    <t>KOPANONG COMMFLEX BASIC CHARGE</t>
  </si>
  <si>
    <t>EKCEBC</t>
  </si>
  <si>
    <t>KOPANONG BULK RESIDENTIAL 3-LOW DEMAND STANDARD</t>
  </si>
  <si>
    <t>ELS905</t>
  </si>
  <si>
    <t>KOPANONG BULK RESIDENTIAL 3-LOW DEMAND PEAK</t>
  </si>
  <si>
    <t>ELP905</t>
  </si>
  <si>
    <t>KOPANONG BULK RESIDENTIAL 3-LOW DEMAND OFF-PEAK</t>
  </si>
  <si>
    <t>ELO905</t>
  </si>
  <si>
    <t>KOPANONG BULK RESIDENTIAL 3-HIGH DEMAND STANDARD</t>
  </si>
  <si>
    <t>EHS905</t>
  </si>
  <si>
    <t>KOPANONG BULK RESIDENTIAL 3-HIGH DEMAND PEAK</t>
  </si>
  <si>
    <t>EHP905</t>
  </si>
  <si>
    <t>KOPANONG BULK RESIDENTIAL 3-HIGH DEMAND OFF-PEAK</t>
  </si>
  <si>
    <t>EHO905</t>
  </si>
  <si>
    <t>KOPANONG BULK RESIDENTIAL 3-ACCESS CHARGE</t>
  </si>
  <si>
    <t>AC9005</t>
  </si>
  <si>
    <t>KOPANONG BULK RESIDENTIAL 3 MAXIMUM DEMAND</t>
  </si>
  <si>
    <t>ELK905</t>
  </si>
  <si>
    <t>KOPANONG BULK RESIDENTIAL 2-MAXIMUM DEMAND</t>
  </si>
  <si>
    <t>ELK904</t>
  </si>
  <si>
    <t>KOPANONG BULK RESIDENTIAL 2-LOW DEMAND STANDARD</t>
  </si>
  <si>
    <t>ELS904</t>
  </si>
  <si>
    <t>KOPANONG BULK RESIDENTIAL 2-LOW DEMAND PEAK</t>
  </si>
  <si>
    <t>ELP904</t>
  </si>
  <si>
    <t>KOPANONG BULK RESIDENTIAL 2-LOW DEMAND OFF-PEAK</t>
  </si>
  <si>
    <t>ELO904</t>
  </si>
  <si>
    <t>KOPANONG BULK RESIDENTIAL 2-HIGH DEMAND STANDARD</t>
  </si>
  <si>
    <t>EHS904</t>
  </si>
  <si>
    <t>KOPANONG BULK RESIDENTIAL 2-HIGH DEMAND PEAK</t>
  </si>
  <si>
    <t>EHP904</t>
  </si>
  <si>
    <t>KOPANONG BULK RESIDENTIAL 2-HIGH DEMAND OFF-PEAK</t>
  </si>
  <si>
    <t>EHO904</t>
  </si>
  <si>
    <t>KOPANONG BULK RESIDENTIAL 2-ACCESS CHARGE</t>
  </si>
  <si>
    <t>AC9004</t>
  </si>
  <si>
    <t>KOP ELECFLEX 2-ENERGY LOW DEMAND STANDARD</t>
  </si>
  <si>
    <t>ELS012</t>
  </si>
  <si>
    <t>KOP ELECFLEX 2-ENERGY HIGH DEMAND STANDARD</t>
  </si>
  <si>
    <t>ELHS12</t>
  </si>
  <si>
    <t>HOMEFLEX-NALEDI LOW DEMAND STANDARD</t>
  </si>
  <si>
    <t>ENRLDS</t>
  </si>
  <si>
    <t>HOMEFLEX-NALEDI LOW DEMAND PEAK</t>
  </si>
  <si>
    <t>ENRLDP</t>
  </si>
  <si>
    <t>HOMEFLEX-NALEDI LOW DEMAND OFF-PEAK</t>
  </si>
  <si>
    <t>ENRLDO</t>
  </si>
  <si>
    <t>HOMEFLEX-NALEDI HIGH DEMAND STANDARD</t>
  </si>
  <si>
    <t>ENRHDS</t>
  </si>
  <si>
    <t>HOMEFLEX-NALEDI HIGH DEMAND PEAK</t>
  </si>
  <si>
    <t>ENRHDP</t>
  </si>
  <si>
    <t>HOMEFLEX-NALEDI HIGH DEMAND OFF-PEAK</t>
  </si>
  <si>
    <t>ENRHDO</t>
  </si>
  <si>
    <t>HOMEFLEX-KOPANONG LOW DEMAND PEAK</t>
  </si>
  <si>
    <t>EKRLDP</t>
  </si>
  <si>
    <t>EKRLDS</t>
  </si>
  <si>
    <t>HOMEFLEX-KOPANONG HIGH DEMAND STANDARD</t>
  </si>
  <si>
    <t>EKRHDS</t>
  </si>
  <si>
    <t>HOMEFLEX-KOPANONG HIGH DEMAND PEAK</t>
  </si>
  <si>
    <t>EKRHDP</t>
  </si>
  <si>
    <t>EKRLDO</t>
  </si>
  <si>
    <t>HOMEFLEX-KOPANONG HIGH DEMAND OFF-PEAK</t>
  </si>
  <si>
    <t>EKRHDO</t>
  </si>
  <si>
    <t>HOMEFLEX NALEDI BASIC CHARGE</t>
  </si>
  <si>
    <t>ENREBC</t>
  </si>
  <si>
    <t>HOMEFLEX KOPANONG LOW DEMAND STANDARD</t>
  </si>
  <si>
    <t>HOMEFLEX KOPANONG LOW DEMAND OFF-PEAK</t>
  </si>
  <si>
    <t>HOMEFLEX KOPANONG BASIC CHARGE</t>
  </si>
  <si>
    <t>EKREBC</t>
  </si>
  <si>
    <t>HOMEFLEX - MOHOKARE LOW DEMAND STANDARD</t>
  </si>
  <si>
    <t>EMRLDS</t>
  </si>
  <si>
    <t>HOMEFLEX - MOHOKARE LOW DEMAND PEAK</t>
  </si>
  <si>
    <t>EMRLDP</t>
  </si>
  <si>
    <t>HOMEFLEX - MOHOKARE LOW DEMAND OFF-PEAK</t>
  </si>
  <si>
    <t>EMRLDO</t>
  </si>
  <si>
    <t>HOMEFLEX - MOHOKARE HIGH DEMAND STANDARD</t>
  </si>
  <si>
    <t>EMRHDS</t>
  </si>
  <si>
    <t>HOMEFLEX - MOHOKARE HIGH DEMAND PEAK</t>
  </si>
  <si>
    <t>EMRHDP</t>
  </si>
  <si>
    <t>HOMEFLEX - MOHOKARE HIGH DEMAND OFF-PEAK</t>
  </si>
  <si>
    <t>EMRHDO</t>
  </si>
  <si>
    <t>HOMEFLEX - MOHOKARE BASIC CHARGE</t>
  </si>
  <si>
    <t>EMREBC</t>
  </si>
  <si>
    <t>DOMESTIC MANGAUNG LOW DEMAND IBT</t>
  </si>
  <si>
    <t>ELSM60</t>
  </si>
  <si>
    <t>ELSM03</t>
  </si>
  <si>
    <t>DOMESTIC MANGAUNG HIGH DEMAND IBT</t>
  </si>
  <si>
    <t>EL0060</t>
  </si>
  <si>
    <t>EL0003</t>
  </si>
  <si>
    <t>DOMESTIC KOPANONG HOMEPOWER LOW DEMAND</t>
  </si>
  <si>
    <t>EL9SM1</t>
  </si>
  <si>
    <t>DOMESTIC KOPANONG HOMEPOWER</t>
  </si>
  <si>
    <t>EL9001</t>
  </si>
  <si>
    <t>CENTLEC ENERGY HIGH DEMAND STANDARD</t>
  </si>
  <si>
    <t>CENTLEC ENERGY HIGH DEMAND PEAK</t>
  </si>
  <si>
    <t>CENTLEC ENERGY HIGH DEMAND OFF-PEAK</t>
  </si>
  <si>
    <t>ELS921</t>
  </si>
  <si>
    <t>CENTLEC DEPARTMENTAL MOHOKARE HIGH DEMAND</t>
  </si>
  <si>
    <t>EL9211</t>
  </si>
  <si>
    <t>BUSINESS KOPANONG LOW DEMAND FLAT RATE</t>
  </si>
  <si>
    <t>EL9SM5</t>
  </si>
  <si>
    <t>BUSINESS KOPANONG HIGH DEMAND FLAT RATE</t>
  </si>
  <si>
    <t>EL9005</t>
  </si>
  <si>
    <t>BULK RESIDENTIAL 3 - ACCESS CHARGE</t>
  </si>
  <si>
    <t>BULK RESIDENTAL 3 - MAXIMUM DEMAND</t>
  </si>
  <si>
    <t xml:space="preserve"> KOPANONG ELECFLEX 1-ENERGY LOW DEMAND OFF-PEAK</t>
  </si>
  <si>
    <t xml:space="preserve"> KOPANONG ELECFLEX 1-ENERGY HIGH DEMAND STANDARD</t>
  </si>
  <si>
    <t>ELHS11</t>
  </si>
  <si>
    <t xml:space="preserve"> KOPANONG ELECFLEX 1-ENERGY HIGH DEMAND PEAK</t>
  </si>
  <si>
    <t>ELHP11</t>
  </si>
  <si>
    <t xml:space="preserve"> EL_SUR_DISC_PERC </t>
  </si>
  <si>
    <t xml:space="preserve"> EL_FREE_SCALE </t>
  </si>
  <si>
    <t xml:space="preserve"> EL_KVA_LIMIT </t>
  </si>
  <si>
    <t xml:space="preserve"> EL_KVKW_RATE </t>
  </si>
  <si>
    <t xml:space="preserve"> EL_KVA_RATE </t>
  </si>
  <si>
    <t xml:space="preserve"> EL_LIMIT </t>
  </si>
  <si>
    <t xml:space="preserve"> EL_RATE </t>
  </si>
  <si>
    <t xml:space="preserve"> EL_STEP </t>
  </si>
  <si>
    <t xml:space="preserve"> EL_SWITCH_CONS_LIMIT </t>
  </si>
  <si>
    <t xml:space="preserve"> EL_OFFPEAK_TAR_SWITCH </t>
  </si>
  <si>
    <t xml:space="preserve"> EL_PEAK_TAR_IND </t>
  </si>
  <si>
    <t xml:space="preserve"> EL_INTERIM_AMOUNT </t>
  </si>
  <si>
    <t xml:space="preserve"> EL_MAIN_SURCH_PERC </t>
  </si>
  <si>
    <t xml:space="preserve"> EL_MAIN_SURCH_VOTE </t>
  </si>
  <si>
    <t xml:space="preserve"> EL_MAX_AMOUNT </t>
  </si>
  <si>
    <t xml:space="preserve"> EL_PREPAID_YORN </t>
  </si>
  <si>
    <t xml:space="preserve"> EL_ADD_SERV_FLAT </t>
  </si>
  <si>
    <t xml:space="preserve"> EL_NETWORK_CHARGE </t>
  </si>
  <si>
    <t xml:space="preserve"> EL_SURC_AMT </t>
  </si>
  <si>
    <t xml:space="preserve"> EL_LVOLT_SURCH_DISC </t>
  </si>
  <si>
    <t xml:space="preserve"> EL_GROSS_SURCH_DISC </t>
  </si>
  <si>
    <t xml:space="preserve"> EL_BULK_SURCH_DISC </t>
  </si>
  <si>
    <t xml:space="preserve"> EL_UNIT_SURCH_DISC </t>
  </si>
  <si>
    <t xml:space="preserve"> EL_AMPS_VARIABLE </t>
  </si>
  <si>
    <t xml:space="preserve"> EL_AMPS_FIXED </t>
  </si>
  <si>
    <t xml:space="preserve"> EL_ADD_SERV </t>
  </si>
  <si>
    <t xml:space="preserve"> EL_ADD_SERV_VOTE </t>
  </si>
  <si>
    <t xml:space="preserve"> EL_ADD_MIN </t>
  </si>
  <si>
    <t xml:space="preserve"> EL_MIN_AMOUNT </t>
  </si>
  <si>
    <t xml:space="preserve"> EL_ALLOC_CODE </t>
  </si>
  <si>
    <t xml:space="preserve"> EL_VAT_CODE </t>
  </si>
  <si>
    <t xml:space="preserve"> EL_LINE_INC_VOTE </t>
  </si>
  <si>
    <t xml:space="preserve"> EL_LINE_LOSS </t>
  </si>
  <si>
    <t xml:space="preserve"> EL_EXP_VOTE </t>
  </si>
  <si>
    <t xml:space="preserve"> EL_DEBITS </t>
  </si>
  <si>
    <t xml:space="preserve"> EL_APPROVED </t>
  </si>
  <si>
    <t xml:space="preserve"> EL_TAR_TYPE </t>
  </si>
  <si>
    <t xml:space="preserve"> EL_GENERAL_DESCRIP </t>
  </si>
  <si>
    <t xml:space="preserve"> EL_TAR_CODE_DESCR </t>
  </si>
  <si>
    <t xml:space="preserve"> EL_UTIL_IND </t>
  </si>
  <si>
    <t xml:space="preserve"> EL_EFFECT_DATE </t>
  </si>
  <si>
    <t xml:space="preserve"> EL_TAR_CODE </t>
  </si>
  <si>
    <t xml:space="preserve"> EL_TARIFF_TYPE </t>
  </si>
  <si>
    <t xml:space="preserve">EL_MUNICIPAL_ID </t>
  </si>
  <si>
    <t xml:space="preserve">Appliance Maintenance </t>
  </si>
  <si>
    <t>Consolidated Budget Summary:  Financial Performance - Service Charges</t>
  </si>
  <si>
    <t>Revenue by Source:  Service Charges - Electricity Revenue</t>
  </si>
  <si>
    <t>Consolidated Budgeted Financial Performance (Revenue and Expenditure( by Standard Classification:  Expenditure - Standards</t>
  </si>
  <si>
    <t>Revenue Items:  Service Charges - Electricity Revenue  #Total Service Charges - Electricity Revenue</t>
  </si>
  <si>
    <t>[0400]  Service Charges</t>
  </si>
  <si>
    <t xml:space="preserve">Connection/Reconnection </t>
  </si>
  <si>
    <t>Change Circuit Breaker</t>
  </si>
  <si>
    <t>Connections New</t>
  </si>
  <si>
    <t>Government Housing</t>
  </si>
  <si>
    <t>Non-government Housing</t>
  </si>
  <si>
    <t>Disconnection/Reconnection Fees</t>
  </si>
  <si>
    <t>Temporary Connection Fee</t>
  </si>
  <si>
    <t>Joint Pole Usage</t>
  </si>
  <si>
    <t>Meter Compliance Testing</t>
  </si>
  <si>
    <t>Meter Reading Fees</t>
  </si>
  <si>
    <t>Notice Revenues</t>
  </si>
  <si>
    <t xml:space="preserve">Temporary Service Plant </t>
  </si>
  <si>
    <t>Electricity Sales</t>
  </si>
  <si>
    <t>Agricultural/Rural/Farm Dwellings Tariffs</t>
  </si>
  <si>
    <t>Commercial Conventional (Single Phase)</t>
  </si>
  <si>
    <t>Commercial Conventional (3-Phase)</t>
  </si>
  <si>
    <t>Commercial Prepaid</t>
  </si>
  <si>
    <t xml:space="preserve">Domestic Low </t>
  </si>
  <si>
    <t>Home light 1 20A</t>
  </si>
  <si>
    <t>Home light 1 60A</t>
  </si>
  <si>
    <t>Home light 2 20A</t>
  </si>
  <si>
    <t>Home light 2 60A</t>
  </si>
  <si>
    <t>Prepaid</t>
  </si>
  <si>
    <t>Domestic High</t>
  </si>
  <si>
    <t>Home power 1</t>
  </si>
  <si>
    <t>Home power 2</t>
  </si>
  <si>
    <t>Home power 3</t>
  </si>
  <si>
    <t>Home power 4</t>
  </si>
  <si>
    <t>Home power Bulk</t>
  </si>
  <si>
    <t>Industrial (400 Volts) (Low Voltage)</t>
  </si>
  <si>
    <t>Industrial (11 000 Volts) (High Voltage)</t>
  </si>
  <si>
    <t>Miscellaneous Services Revenue Affiliates and Inter Affiliates</t>
  </si>
  <si>
    <t>Revenue Adjustment</t>
  </si>
  <si>
    <t>Special Negotiated Tariffs</t>
  </si>
  <si>
    <t>Sports Grounds/Churches/Holiday/Old-age homes</t>
  </si>
  <si>
    <t>Street Lighting</t>
  </si>
  <si>
    <t>Water pumps</t>
  </si>
  <si>
    <t>Electricity Distribution Revenue for Services</t>
  </si>
  <si>
    <t>Network Charges</t>
  </si>
  <si>
    <t>Ancillary Charges</t>
  </si>
  <si>
    <t>Losses</t>
  </si>
  <si>
    <t>Electricity Services Incidental to Energy Sales</t>
  </si>
  <si>
    <t>mSCOA  VERSION 5.3  [Released April 2015]</t>
  </si>
  <si>
    <t>GUID</t>
  </si>
  <si>
    <t>LINK TO FUNCTION not updated to Version 5.3</t>
  </si>
  <si>
    <t>Link to BRF</t>
  </si>
  <si>
    <t>IYR</t>
  </si>
  <si>
    <t>Community and Social Service</t>
  </si>
  <si>
    <t>Environmental Protection</t>
  </si>
  <si>
    <t>Executive and Council</t>
  </si>
  <si>
    <t>Finance and Administration</t>
  </si>
  <si>
    <t>Health</t>
  </si>
  <si>
    <t>Housing</t>
  </si>
  <si>
    <t>Internal Audit</t>
  </si>
  <si>
    <t>Planning and Development</t>
  </si>
  <si>
    <t>Public Safety</t>
  </si>
  <si>
    <t>Road Transport</t>
  </si>
  <si>
    <t>Sport and Recreation</t>
  </si>
  <si>
    <t>Waste Management</t>
  </si>
  <si>
    <t>Waste Water Management</t>
  </si>
  <si>
    <t>Water</t>
  </si>
  <si>
    <t>Applicability</t>
  </si>
  <si>
    <t>Core Function</t>
  </si>
  <si>
    <t>Non-core</t>
  </si>
  <si>
    <t>A2 &amp; A2A</t>
  </si>
  <si>
    <t>SA12a&amp;b</t>
  </si>
  <si>
    <t>SA13a</t>
  </si>
  <si>
    <t>OSA</t>
  </si>
  <si>
    <t>Aged Care, Home Assistance and Transport Facilities</t>
  </si>
  <si>
    <t>Cemetaries and Crematoriums</t>
  </si>
  <si>
    <t>Child Care Facilities</t>
  </si>
  <si>
    <t>Community Halls and Facilities</t>
  </si>
  <si>
    <t>Libraries and Archives</t>
  </si>
  <si>
    <t>Museums and Art Galleries</t>
  </si>
  <si>
    <t>Other Community:  Animal Care</t>
  </si>
  <si>
    <t>Other Community:  Literacy Programmes</t>
  </si>
  <si>
    <t>Other Social:  Theatres</t>
  </si>
  <si>
    <t>Other Social:  Zoo's</t>
  </si>
  <si>
    <t>Agricultural</t>
  </si>
  <si>
    <t>Animal Control and Diseases</t>
  </si>
  <si>
    <t>Archives</t>
  </si>
  <si>
    <t>Cultural Matters</t>
  </si>
  <si>
    <t>Consumer Protection</t>
  </si>
  <si>
    <t>Disaster Management</t>
  </si>
  <si>
    <t>Education</t>
  </si>
  <si>
    <t>Indigenous and Customary Law</t>
  </si>
  <si>
    <t>Industrial Promotion</t>
  </si>
  <si>
    <t>Language Policy</t>
  </si>
  <si>
    <t>Libraries</t>
  </si>
  <si>
    <t>Media Services</t>
  </si>
  <si>
    <t>Museums</t>
  </si>
  <si>
    <t>Population Development</t>
  </si>
  <si>
    <t>Provincial Cultural Matters</t>
  </si>
  <si>
    <t>Electricity Distribution</t>
  </si>
  <si>
    <t>Electricity Generation</t>
  </si>
  <si>
    <t>Biodiversity and Landscape</t>
  </si>
  <si>
    <t>Other:  Coastal Protection</t>
  </si>
  <si>
    <t>Pollution Control</t>
  </si>
  <si>
    <t>Indigenous Forests</t>
  </si>
  <si>
    <t>Nature Conservation</t>
  </si>
  <si>
    <t>Soil Conservation</t>
  </si>
  <si>
    <t>Mayor and Council</t>
  </si>
  <si>
    <t>Municipal Manager</t>
  </si>
  <si>
    <t>Budget</t>
  </si>
  <si>
    <t>Finance</t>
  </si>
  <si>
    <t>Human Resources</t>
  </si>
  <si>
    <t>Information Technology</t>
  </si>
  <si>
    <t>Property Services</t>
  </si>
  <si>
    <t>Other:  Asset Management</t>
  </si>
  <si>
    <t>Other:   Fleet Management</t>
  </si>
  <si>
    <t>Other:  Legal Services</t>
  </si>
  <si>
    <t>Other:  Marketing, Publicity and Media Co-ordination</t>
  </si>
  <si>
    <t>Other:  Risk Management</t>
  </si>
  <si>
    <t>Other:  Security Services</t>
  </si>
  <si>
    <t>Supply Chain Management</t>
  </si>
  <si>
    <t>Treasury Office</t>
  </si>
  <si>
    <t>Health Inspections</t>
  </si>
  <si>
    <t>Ambulance</t>
  </si>
  <si>
    <t>Health Service</t>
  </si>
  <si>
    <t>Note 1</t>
  </si>
  <si>
    <t>Governance Function</t>
  </si>
  <si>
    <t>Abattoirs</t>
  </si>
  <si>
    <t>Air Transport</t>
  </si>
  <si>
    <t>Forestry</t>
  </si>
  <si>
    <t>Licensing and Regulation</t>
  </si>
  <si>
    <t>Markets:  Street Trading</t>
  </si>
  <si>
    <t>Tourism</t>
  </si>
  <si>
    <t>Licensing and Regulation:  Liquor Licensing</t>
  </si>
  <si>
    <t>Markets:  Trade</t>
  </si>
  <si>
    <t>Corporate Wide Strategic Planning (IDPs, LEDs)</t>
  </si>
  <si>
    <t>Economic Development/Planning</t>
  </si>
  <si>
    <t>Town Planning, Building Regulations and Enforcement, City Engineer</t>
  </si>
  <si>
    <t>Provincial Planning</t>
  </si>
  <si>
    <t>Regional Planning and Development</t>
  </si>
  <si>
    <t>Urban and Rural Development</t>
  </si>
  <si>
    <t>Civil Defence (Municipal Commando's)</t>
  </si>
  <si>
    <t>Fire Fighting and Protection</t>
  </si>
  <si>
    <t>Other:  Control of Public Nuisance</t>
  </si>
  <si>
    <t>Other:  Cleansing</t>
  </si>
  <si>
    <t>Other:  Disaster Management</t>
  </si>
  <si>
    <t>Other:  Fencing and Fences</t>
  </si>
  <si>
    <t>Other:  Licensing and Control of Animals</t>
  </si>
  <si>
    <t>Other:  Police Forces, Traffic and Street Parking Control</t>
  </si>
  <si>
    <t>Parking Garages</t>
  </si>
  <si>
    <t>Public Buses</t>
  </si>
  <si>
    <t>Roads</t>
  </si>
  <si>
    <t>Other:  Taxi Ranks</t>
  </si>
  <si>
    <t>Pounds</t>
  </si>
  <si>
    <t>Provincial Roads and Traffic</t>
  </si>
  <si>
    <t>Public Transport</t>
  </si>
  <si>
    <t>Road Traffic Regulation</t>
  </si>
  <si>
    <t>Vehicle Licensing and Testing</t>
  </si>
  <si>
    <t>Beaches and Jetties for Recreation</t>
  </si>
  <si>
    <t>Billboards and Amusement Facilities</t>
  </si>
  <si>
    <t>Camping Sites</t>
  </si>
  <si>
    <t>Community Parks (including Nurseries)</t>
  </si>
  <si>
    <t>Lakes, Dams and Jetties for Recreation</t>
  </si>
  <si>
    <t>Sports, Grounds and Stadiums</t>
  </si>
  <si>
    <t>Swimming Pools</t>
  </si>
  <si>
    <t>Casino's, Racing, Gambling and Wagering</t>
  </si>
  <si>
    <t>Provincial Recreation and Amenities</t>
  </si>
  <si>
    <t>Provincial Sport</t>
  </si>
  <si>
    <t>Recycling</t>
  </si>
  <si>
    <t>Solid Waste Disposal (Landfill Sites)</t>
  </si>
  <si>
    <t>Solid Waste Removal</t>
  </si>
  <si>
    <t>Street Cleaning</t>
  </si>
  <si>
    <t>Sewerage</t>
  </si>
  <si>
    <t>Storm Water Management</t>
  </si>
  <si>
    <t>Public Toilets</t>
  </si>
  <si>
    <t>Treatment</t>
  </si>
  <si>
    <t>N/ate 1</t>
  </si>
  <si>
    <t>Water Distribution</t>
  </si>
  <si>
    <t>Water Storage</t>
  </si>
  <si>
    <t>STREETLIGHTS</t>
  </si>
  <si>
    <t>Covers the free basic services according to national policy, i.e. 6 kl water, 50 kWh electricity, free sewerage and free weekly refuse removal.  Must be the actual cost to the municipality and not the revenue cost to the municipality of providing these services.  Refer to Operational Cost for the equal deduction for Cost of Free Basic Services.</t>
  </si>
  <si>
    <t>Cost of Free Basic Services</t>
  </si>
  <si>
    <t>720ad1af-a99d-432c-8dd7-419a3e20593a</t>
  </si>
  <si>
    <t>Eout</t>
  </si>
  <si>
    <t>This account provides for the free basic service according to national policy being 50 kwh electricity per household per month.  Refer to Operational Cost for the equal deduction for Cost of Free Basic Services.</t>
  </si>
  <si>
    <t>Electricity (50 kwh per household per month)</t>
  </si>
  <si>
    <t>605b8064-4deb-464d-85bf-913c6c77fab6</t>
  </si>
  <si>
    <t>Consolidated Budget Summary:  Free Services - Cost of Free Basic Services Provided</t>
  </si>
  <si>
    <t>Position Paper</t>
  </si>
  <si>
    <t>This account provides for the free basic service according to national policy being the minimum level of service for sanitation.  Refer to Operational Cost for the equal deduction for Cost of Free Basic Services sanitation free minimum level of service.</t>
  </si>
  <si>
    <t>Waste Water Management (free minimum level service)</t>
  </si>
  <si>
    <t>d78f2ad6-41f1-4454-a260-c311c9548f69</t>
  </si>
  <si>
    <t>This account provides for the free basic service according to national policy being removal of solid waste once a week.  Refer to Operational Cost for the equal deduction for Cost of Free Basic Services solid waste.</t>
  </si>
  <si>
    <t>Waste Management (removed once a week)</t>
  </si>
  <si>
    <t>76abfe3e-bc90-4e3f-bbfd-64275dbd6a7b</t>
  </si>
  <si>
    <t>This account provides for the free basic service according to national policy being 6 kl of water per household per month.   Refer to Operational Cost for the equal deduction for Cost of Free Basic Services.</t>
  </si>
  <si>
    <t>Water (6 kl per household per month)</t>
  </si>
  <si>
    <t>ac34b81e-cd49-45b4-96be-cbd60a6d624e</t>
  </si>
  <si>
    <t>Covers all rates rebates, exemption and discounts given to households and other customer groups either in general or specifically.  Covers all free services or service discounts given to households and other customer groups in relation to services for which the municipality normally charges.  Must be the revenue cost to the municipality of providing these rebates, discounts and free services and includes the revenue cost to the municipality of providing the free basic services to households according to national policy and must not include the cost of debt write-offs.  Entry:  Debit Cost of Free Basic Services (Expenditure), Credit Transfers to Households</t>
  </si>
  <si>
    <t>Revenue Cost of Free Services</t>
  </si>
  <si>
    <t>972bf106-06f5-4d74-a8bc-aa49e011f8da</t>
  </si>
  <si>
    <t>This account provides for the revenue cost of free electricity services provided including free basic services.</t>
  </si>
  <si>
    <t>Electricity (Other Energy)</t>
  </si>
  <si>
    <t>17af3312-0705-4208-8848-52365ba6b49e</t>
  </si>
  <si>
    <t>Consolidated Budget Summary:  Free Services - Revenue Cost of Free Services Provided</t>
  </si>
  <si>
    <t>Revenue Items:  Service Charges - Electricity Revenue  #less Revenue Foregone</t>
  </si>
  <si>
    <t xml:space="preserve">This account provides for the revenue cost of free housing given to the top structures of the municipality.  </t>
  </si>
  <si>
    <t>Housing (Top Structures)</t>
  </si>
  <si>
    <t>a98e7763-3c6f-4649-8056-d4d8148e680b</t>
  </si>
  <si>
    <t xml:space="preserve">This account provides for the revenue cost of free municipal housing - rental rebates given. </t>
  </si>
  <si>
    <t>Rental Rebates</t>
  </si>
  <si>
    <t>cbf2afd4-c60b-4cee-ace2-473cb8d16bba</t>
  </si>
  <si>
    <t>This account provides for the revenue cost of free refuse services provided including free basic services.</t>
  </si>
  <si>
    <t>3669db8d-6d25-4a1c-94c2-19a2e90ed490</t>
  </si>
  <si>
    <t>Revenue Items:  Service Charges - Refuse Revenue  #less Revenue Foregone</t>
  </si>
  <si>
    <t>This account provides for the revenue cost of free sanitation services provided including free basic services.</t>
  </si>
  <si>
    <t>d0c497d8-da79-45d1-a015-5b9ad82b26e6</t>
  </si>
  <si>
    <t>Revenue Items:  Service Charges - Sanitation Revenue  #less Revenue Foregone</t>
  </si>
  <si>
    <t>This account provides for the revenue cost of free water services provided including free basic services.</t>
  </si>
  <si>
    <t>cf8a7998-3c1a-4ee7-a487-314d3c4b9819</t>
  </si>
  <si>
    <t>Revenue Items:  Service Charges - Water Revenue  #less Revenue Foregone</t>
  </si>
  <si>
    <t>CONTRA ACCOUNT</t>
  </si>
  <si>
    <t>Exchange Revenue:  Contra Accounts - Cost of Free Basic Services:  Electricity (50 kwh per household per month)</t>
  </si>
  <si>
    <t>Tariff Rand Values revised 2,4B</t>
  </si>
  <si>
    <t>Tariff Structure to complete</t>
  </si>
  <si>
    <t>Difference</t>
  </si>
  <si>
    <t xml:space="preserve">CENTLEC : ELECTRICITY SERVICES COSTS - ELECTRICITY TARIFFS </t>
  </si>
  <si>
    <t>Annexure A</t>
  </si>
  <si>
    <t>Prepayment Inclining Block for Indigents Tariff</t>
  </si>
  <si>
    <t>Indigent (1 to 50) Free Basic Electricity</t>
  </si>
  <si>
    <t>Indigent (51 to 350) Lifeline Tariff</t>
  </si>
  <si>
    <t>Overall</t>
  </si>
  <si>
    <t>Pre Payment Inclining Block Tariff</t>
  </si>
  <si>
    <t>EL0001/ELSM01</t>
  </si>
  <si>
    <t>Block 2 (351kWh and above)</t>
  </si>
  <si>
    <t>Overall (Including Indigent Tariffs)</t>
  </si>
  <si>
    <t>Conventional Inclining Block</t>
  </si>
  <si>
    <t>Single Phase Basic Charge</t>
  </si>
  <si>
    <t>Three Phase Basic Charge</t>
  </si>
  <si>
    <t>ELRHDP/E1RHDP</t>
  </si>
  <si>
    <t>Peak Energy (kWh)</t>
  </si>
  <si>
    <t>ELRHDS/E1RHDS</t>
  </si>
  <si>
    <t>Standard Energy (kWh)</t>
  </si>
  <si>
    <t>ELRHDO/E1RHDO</t>
  </si>
  <si>
    <t>OffPeak Energy (kWh)</t>
  </si>
  <si>
    <t xml:space="preserve">Pre Payment Flat Business Tariff </t>
  </si>
  <si>
    <t>Units (kWh)</t>
  </si>
  <si>
    <t>Rotary Flat Business Tariff (EL0005)</t>
  </si>
  <si>
    <t xml:space="preserve">Conventional Flat Business Tariff </t>
  </si>
  <si>
    <t>EL0005/ELSM05</t>
  </si>
  <si>
    <t>E1CHDP/ELCHDP</t>
  </si>
  <si>
    <t>E1CHDS/ELCHDS</t>
  </si>
  <si>
    <t>E1CHDO/ELCHD0</t>
  </si>
  <si>
    <t>Off-Peak (kWh)</t>
  </si>
  <si>
    <t>Access Charge (kVA)</t>
  </si>
  <si>
    <t>Max Demand (kVA)</t>
  </si>
  <si>
    <t>Off-Peak Energy (kWh)</t>
  </si>
  <si>
    <t>ELHP03/ELP003</t>
  </si>
  <si>
    <t>ELHS03/ELS003</t>
  </si>
  <si>
    <t>ELHO03/ELO003</t>
  </si>
  <si>
    <t>ELHP05/ELP005</t>
  </si>
  <si>
    <t>Centlec Departmental on ToU</t>
  </si>
  <si>
    <t xml:space="preserve">Departmental </t>
  </si>
  <si>
    <t>kWh (Centlec)</t>
  </si>
  <si>
    <t>Net Metering</t>
  </si>
  <si>
    <t>Alternative Resell Tariff</t>
  </si>
  <si>
    <t>Basic</t>
  </si>
  <si>
    <t>PP IBT</t>
  </si>
  <si>
    <t>Homeflex</t>
  </si>
  <si>
    <t>MANGAUNG ELECFLEX 1 - SERVICE CHARGE</t>
  </si>
  <si>
    <t>MANGAUNG ELECFLEX 2 SERVICE CHARGE</t>
  </si>
  <si>
    <t>MANGAUNG ELECFLEX 2-   MAXIMUM DEMAND</t>
  </si>
  <si>
    <t>MANGAUNG ELECFLEX 1-   MAXIMUM DEMAND</t>
  </si>
  <si>
    <t>MANGAUNG ELECFLEX 3 SERVICE CHARGE</t>
  </si>
  <si>
    <t>BULK RESIDENTIAL 3 - SERVICE CHARGE</t>
  </si>
  <si>
    <t>Revenue forgone - Own consumption</t>
  </si>
  <si>
    <t xml:space="preserve">TOTALS </t>
  </si>
  <si>
    <t>STREETLIGHTS IS THE DIFFERENCE</t>
  </si>
  <si>
    <t xml:space="preserve">SALE OF ELECTRICITY - CONVENTIONAL               </t>
  </si>
  <si>
    <t xml:space="preserve">SALE OF ELECTRICITY   - PREPAID          </t>
  </si>
  <si>
    <t xml:space="preserve">SALE OF ELECTRICITY - STREET LIGHTS      </t>
  </si>
  <si>
    <t xml:space="preserve">SALE OF ELECTRICITY - FREE SERVICES RECOVERABLE               </t>
  </si>
  <si>
    <t>SALES OF ELECTRICITY REVENUE FORGONE  - OWN CONSUMPTION</t>
  </si>
  <si>
    <t>Budget 
2017/18</t>
  </si>
  <si>
    <t>Budget 
2018/19</t>
  </si>
  <si>
    <t>Adjusment Budget 2015-16</t>
  </si>
  <si>
    <t>APPROVED BUDGET 2015/16</t>
  </si>
  <si>
    <t>STREETLIGHT MAINTENANCE</t>
  </si>
  <si>
    <t>tariff increase</t>
  </si>
  <si>
    <t>increase in demand</t>
  </si>
  <si>
    <t>additional customers</t>
  </si>
  <si>
    <t>reasons for increase:</t>
  </si>
  <si>
    <t>7.64% on the Adjustment Budget</t>
  </si>
  <si>
    <t>Eskom Accounts</t>
  </si>
  <si>
    <t>Correction on Benchmarking exercise (7.64% Of Nersa Approval)</t>
  </si>
  <si>
    <t>Current Customer per category and related revenue</t>
  </si>
  <si>
    <t>Budget Line items</t>
  </si>
  <si>
    <t>SLIDE 1</t>
  </si>
  <si>
    <t>SLIDE 2</t>
  </si>
  <si>
    <t>SLIDE 3</t>
  </si>
  <si>
    <t>Draft Budget submitted
2016/17</t>
  </si>
  <si>
    <t>YTD Figures as April 2016</t>
  </si>
  <si>
    <t>Forcast Revenue 30 June 2016</t>
  </si>
  <si>
    <t>7.64% INCREASE OF NERSA</t>
  </si>
  <si>
    <t>Total Revenue after 7.64%</t>
  </si>
  <si>
    <t>Customers</t>
  </si>
  <si>
    <t>Demand</t>
  </si>
  <si>
    <t>Tariffs</t>
  </si>
  <si>
    <t>Current consumer draft Budget</t>
  </si>
  <si>
    <t>New Consumer base</t>
  </si>
  <si>
    <t>Total Meters current consumer base</t>
  </si>
  <si>
    <t>Revenue anticipated based on current customers</t>
  </si>
  <si>
    <t>SLIDE 4</t>
  </si>
  <si>
    <t>Total Number of Customers</t>
  </si>
  <si>
    <t>Growth in consumption</t>
  </si>
  <si>
    <t>Projected Revenue</t>
  </si>
  <si>
    <t>Number of Customers</t>
  </si>
  <si>
    <t>TOTAL EXCLUDING STREETLIGHTS AND FBE</t>
  </si>
  <si>
    <t>TOTAL REVENUE PER DRAFT BUDGET</t>
  </si>
  <si>
    <t>REVENUE FORGONE - OWN CONSUMPTION</t>
  </si>
  <si>
    <t>It is not spilted it is as Homeflex Consolidate</t>
  </si>
  <si>
    <t>Comflex  (Single and Three Phase)</t>
  </si>
  <si>
    <t>Homeflex (Single and Three Phase)</t>
  </si>
  <si>
    <t xml:space="preserve">TOTAL </t>
  </si>
  <si>
    <t xml:space="preserve">TARIFF CODES </t>
  </si>
  <si>
    <t xml:space="preserve">PROJECTED REVENUE PER SUBMITTED DRAFT BUDGET </t>
  </si>
  <si>
    <t>NUMBER OF CUSTOMERS</t>
  </si>
  <si>
    <t>IBT (ROTATIONAL)</t>
  </si>
  <si>
    <t>PP IBT (PREPAID)</t>
  </si>
  <si>
    <t>LESS OWN CONSUMPTION</t>
  </si>
  <si>
    <t>DRAFT BUDGET (REVENUE) SUBMITTED</t>
  </si>
  <si>
    <t>Total Revenue after 7.64% increase</t>
  </si>
  <si>
    <t>Number of Meters (New Projected Consumer Base )</t>
  </si>
  <si>
    <t>AVERGE TARIFF INCREAS %</t>
  </si>
  <si>
    <t>ELSLC1 (Streetlights)</t>
  </si>
  <si>
    <t>TOTALS</t>
  </si>
  <si>
    <t xml:space="preserve">Forcast Revenue  30 June 2016 </t>
  </si>
  <si>
    <t>Total Projected Revenue after 7.64% increase</t>
  </si>
  <si>
    <t>SLIDE 5</t>
  </si>
  <si>
    <t>accounts not buying</t>
  </si>
  <si>
    <t>MMR REPORT</t>
  </si>
  <si>
    <r>
      <t>SALE OF ELECTRICITY - CONVENTIONAL              </t>
    </r>
    <r>
      <rPr>
        <sz val="16"/>
        <color rgb="FF1F497D"/>
        <rFont val="Arial Narrow"/>
        <family val="2"/>
      </rPr>
      <t>R1340109155</t>
    </r>
    <r>
      <rPr>
        <sz val="16"/>
        <color theme="1"/>
        <rFont val="Arial Narrow"/>
        <family val="2"/>
      </rPr>
      <t xml:space="preserve"> </t>
    </r>
    <r>
      <rPr>
        <sz val="16"/>
        <color rgb="FF1F497D"/>
        <rFont val="Arial Narrow"/>
        <family val="2"/>
      </rPr>
      <t>  check note 24 AFS</t>
    </r>
  </si>
  <si>
    <r>
      <t xml:space="preserve">SALE OF ELECTRICITY   - PREPAID          </t>
    </r>
    <r>
      <rPr>
        <sz val="16"/>
        <color rgb="FF1F497D"/>
        <rFont val="Arial Narrow"/>
        <family val="2"/>
      </rPr>
      <t>R542646943 check note 24 AFS</t>
    </r>
  </si>
  <si>
    <r>
      <t>SALE OF ELECTRICITY - STREET LIGHTS     </t>
    </r>
    <r>
      <rPr>
        <sz val="8"/>
        <color rgb="FF1F497D"/>
        <rFont val="Arial Narrow"/>
        <family val="2"/>
      </rPr>
      <t>R</t>
    </r>
    <r>
      <rPr>
        <sz val="8"/>
        <color theme="1"/>
        <rFont val="Arial Narrow"/>
        <family val="2"/>
      </rPr>
      <t xml:space="preserve"> </t>
    </r>
    <r>
      <rPr>
        <sz val="14"/>
        <color theme="1"/>
        <rFont val="Calibri"/>
        <family val="2"/>
      </rPr>
      <t>47 165 402  check AFS note 46</t>
    </r>
  </si>
  <si>
    <r>
      <t>SALE OF ELECTRICITY - FREE SERVICES RECOVERABLE  </t>
    </r>
    <r>
      <rPr>
        <sz val="16"/>
        <color rgb="FF1F497D"/>
        <rFont val="Arial Narrow"/>
        <family val="2"/>
      </rPr>
      <t>R 5533456</t>
    </r>
    <r>
      <rPr>
        <sz val="8"/>
        <color rgb="FF1F497D"/>
        <rFont val="Arial Narrow"/>
        <family val="2"/>
      </rPr>
      <t xml:space="preserve"> </t>
    </r>
    <r>
      <rPr>
        <sz val="8"/>
        <color theme="1"/>
        <rFont val="Arial Narrow"/>
        <family val="2"/>
      </rPr>
      <t> </t>
    </r>
    <r>
      <rPr>
        <sz val="16"/>
        <color rgb="FF1F497D"/>
        <rFont val="Arial Narrow"/>
        <family val="2"/>
      </rPr>
      <t>check note 24 AFS</t>
    </r>
    <r>
      <rPr>
        <sz val="8"/>
        <color theme="1"/>
        <rFont val="Arial Narrow"/>
        <family val="2"/>
      </rPr>
      <t xml:space="preserve">            </t>
    </r>
  </si>
  <si>
    <r>
      <t>SALES OF ELECTRICITY REVENUE FORGONE  - OWN CONSUMPTION</t>
    </r>
    <r>
      <rPr>
        <sz val="8"/>
        <color rgb="FF1F497D"/>
        <rFont val="Arial Narrow"/>
        <family val="2"/>
      </rPr>
      <t xml:space="preserve"> </t>
    </r>
    <r>
      <rPr>
        <sz val="16"/>
        <color rgb="FF1F497D"/>
        <rFont val="Arial Narrow"/>
        <family val="2"/>
      </rPr>
      <t xml:space="preserve">R </t>
    </r>
    <r>
      <rPr>
        <sz val="16"/>
        <color theme="1"/>
        <rFont val="Calibri"/>
        <family val="2"/>
      </rPr>
      <t>647 474 check note 53</t>
    </r>
  </si>
  <si>
    <t>Adjustment Budget 2015/16:</t>
  </si>
  <si>
    <t>2015/16</t>
  </si>
  <si>
    <t>less than the Draft budget submitted</t>
  </si>
  <si>
    <t xml:space="preserve">over budgeted in 2015/16 </t>
  </si>
  <si>
    <t>BASIS OF THE TARIFF ON HIGH LEVEL:</t>
  </si>
  <si>
    <t>AFS FIGURES 2014/15 AUDITED</t>
  </si>
  <si>
    <t>BUDGET SUBMITTED ON 18 MARCH 2016</t>
  </si>
  <si>
    <t>Difference is the minimum loss for load shedding in 2014/15 that is ccounted for in the 2016/17 tariffs</t>
  </si>
  <si>
    <t>total amount of customers on MMR report</t>
  </si>
  <si>
    <t>customers buying electricity</t>
  </si>
  <si>
    <t xml:space="preserve">Centlec Street Lights </t>
  </si>
  <si>
    <t>Centlec kWh</t>
  </si>
  <si>
    <t>Nersa</t>
  </si>
  <si>
    <t>TARIFF CATEGORIES</t>
  </si>
  <si>
    <t xml:space="preserve">PROJECTED REVENUE PER BUDGET </t>
  </si>
  <si>
    <t>AVERAGE TARIFF INCREASE %</t>
  </si>
  <si>
    <t>Budget 2019/2020</t>
  </si>
  <si>
    <t>MSCOA</t>
  </si>
  <si>
    <t>Indigent (&gt; 350) Lifeline Tariff</t>
  </si>
  <si>
    <t>Centlec Dept ToU</t>
  </si>
  <si>
    <t>Centlec Dept</t>
  </si>
  <si>
    <t>???</t>
  </si>
  <si>
    <t>CENTLEC ENERGY FLAT RATE</t>
  </si>
  <si>
    <t>IBT Indigents (PREPAID &amp; ROTARY)</t>
  </si>
  <si>
    <t>IBT (Rotary)</t>
  </si>
  <si>
    <t>IBT (PP)</t>
  </si>
  <si>
    <t>Centlec ToU</t>
  </si>
  <si>
    <t>Centlec Flat Rate</t>
  </si>
  <si>
    <t>INEL01 (FBE)</t>
  </si>
  <si>
    <t>EL0011</t>
  </si>
  <si>
    <t>Budget Increase %</t>
  </si>
  <si>
    <t>IBT (PREPAID)</t>
  </si>
  <si>
    <t xml:space="preserve">PREPAID </t>
  </si>
  <si>
    <t>Rotational</t>
  </si>
  <si>
    <t>.</t>
  </si>
  <si>
    <t>32</t>
  </si>
  <si>
    <t>18</t>
  </si>
  <si>
    <t>ZZZ</t>
  </si>
  <si>
    <t>ZZ</t>
  </si>
  <si>
    <t>FB1</t>
  </si>
  <si>
    <t>MMM CFLEX - 3 PHASE WINTER PEAK ELCHDP</t>
  </si>
  <si>
    <t>MMM CFLEX - 3 PHASE WINTER STD ELCHDS</t>
  </si>
  <si>
    <t>MMM CFLEX - 3 PHASE BASIC CHARGE ELCOBC</t>
  </si>
  <si>
    <t>MMM DEPARTMENTAL FLAT RATE WINTER</t>
  </si>
  <si>
    <t>MMM DEPARTMENTAL FLAT RATE SUMMER</t>
  </si>
  <si>
    <t>MMM HFLEX - 3 PHASE SUMMER PEAK ELRLDP</t>
  </si>
  <si>
    <t>MMM HFLEX - 3 PHASE BASIC CHARGE ELROBC</t>
  </si>
  <si>
    <t>MMM BULK RES 2 - SUMMER OFF PEAK ELO004</t>
  </si>
  <si>
    <t>MMM BULK RES 2 - DEMAND CHARGE ELK004</t>
  </si>
  <si>
    <t>MMM BULK RES 3 - WINTER PEAK ELHP05</t>
  </si>
  <si>
    <t>MMM BULK RES 3 - WINTER OFF PEAK ELH005</t>
  </si>
  <si>
    <t>MMM BULK RES 3 - SUMMER PEAK ELP005</t>
  </si>
  <si>
    <t>MMM BULK RES 3 - DEMAND CHARGE ELK005</t>
  </si>
  <si>
    <t>MMM ELFLEX 3 - ENERGY WINTER PEAK ELHPO3</t>
  </si>
  <si>
    <t>MMM ELFLEX 1 - ENERGY WINTER PEAK ELHP01</t>
  </si>
  <si>
    <t>MMM ELFLEX 1 - ENERGY SUMMER PEAK ELP001</t>
  </si>
  <si>
    <t>MMM ELFLEX 2 - ENERGY WINTER PEAK ELHP02</t>
  </si>
  <si>
    <t>CEN DEPART TOU ENERGY WINTER PEAK CNHPO1</t>
  </si>
  <si>
    <t>CEN DEPART TOU ENERGY SUMMER STD CENS01</t>
  </si>
  <si>
    <t>PP</t>
  </si>
  <si>
    <t>Budget 2021/22</t>
  </si>
  <si>
    <t>Indigent PP</t>
  </si>
  <si>
    <t>Indigent Conventional</t>
  </si>
  <si>
    <t>2020/2021</t>
  </si>
  <si>
    <t>Budget 2020/2021</t>
  </si>
  <si>
    <t>Budget 2022/23</t>
  </si>
  <si>
    <t>INDIGENT OTHER WINTER CONV &amp; PP INEL01</t>
  </si>
  <si>
    <t>INDIGENT OTHER SUMMER CONV &amp; PP INELSM1</t>
  </si>
  <si>
    <t>111</t>
  </si>
  <si>
    <t>115</t>
  </si>
  <si>
    <t>116</t>
  </si>
  <si>
    <t>117</t>
  </si>
  <si>
    <t>122</t>
  </si>
  <si>
    <t>MMM INDIGENT - OTHER THAN FBE</t>
  </si>
  <si>
    <t xml:space="preserve">MMM DOMESTIC IBT CONVENTIONAL </t>
  </si>
  <si>
    <t>MMM DOMESTIC IBT PREPAID</t>
  </si>
  <si>
    <t>MMM HOMEFLEX SINGLE PHASE</t>
  </si>
  <si>
    <t>MMM BULK RESELL 2</t>
  </si>
  <si>
    <t>MMM BULK RESELL 3</t>
  </si>
  <si>
    <t>MMM BUSINESS FLAT RATE CONVENTIONAL</t>
  </si>
  <si>
    <t>MMM BUSINESS FLAT RATE PREPAID</t>
  </si>
  <si>
    <t>MMM COMFLEX SINGLE PHASE</t>
  </si>
  <si>
    <t>MMM COMFLEX THREE PHASE</t>
  </si>
  <si>
    <t>MMM ELECFLEX 2</t>
  </si>
  <si>
    <t>MMM ELECFLEX 3</t>
  </si>
  <si>
    <t>MMM DEPARTMENTAL FLAT RATE</t>
  </si>
  <si>
    <t>MMM DEPARTMENTAL TIME OF USE</t>
  </si>
  <si>
    <t>MMM SPORTS STADIUMS TIME OF USE</t>
  </si>
  <si>
    <t>MMM HFLEX - 1 PHASE SUMMER PEAK E1RLDP</t>
  </si>
  <si>
    <t>MMM HFLEX - 1 PHASE SUMMER STD E1RLDS</t>
  </si>
  <si>
    <t>MMM HFLEX - 1 PHASE SUMMER OFF-PEAK E1RLDO</t>
  </si>
  <si>
    <t>MMM HFLEX - 1 PHASE WINTER PEAK E1RHDP</t>
  </si>
  <si>
    <t>MMM HFLEX - 1 PHASE WINTER STD E1RHDS</t>
  </si>
  <si>
    <t>MMM HFLEX - 1 PHASE WINTER OFF PEAK E1RHDO</t>
  </si>
  <si>
    <t>MMM HFLEX - 1 PHASE BASIC CHARGE ELREBC</t>
  </si>
  <si>
    <t>MMM HFLEX - 3 PHASE SUMMER STD ELRLDS</t>
  </si>
  <si>
    <t>MMM HFLEX - 3 PHASE SUMMER OFF PEAK ELRLDO</t>
  </si>
  <si>
    <t>MMM HFLEX - 3 PHASE WINTER STD PEAK ELRHDS</t>
  </si>
  <si>
    <t>MMM HFLEX - 3 PHASE WINTER PEAK ELRHDP</t>
  </si>
  <si>
    <t>MMM HFLEX - 3 PHASE WINTER OFF PEAK ELRHDO</t>
  </si>
  <si>
    <t>MMM BULK RES 2 - SUMMER PEAK ELP004</t>
  </si>
  <si>
    <t>MMM BULK RES 2 - SUMMER STD ELS004</t>
  </si>
  <si>
    <t>MMM BULK RES 2 - WINTER PEAK ELHPO4</t>
  </si>
  <si>
    <t>MMM BULK RES 2 - WINTER STD ELHSO4</t>
  </si>
  <si>
    <t>MMM BULK RES 2 -WINTER OFF PEAK ELHO04</t>
  </si>
  <si>
    <t>MMM BULK RES 2 - BASIC CHARGE ACC004</t>
  </si>
  <si>
    <t>MMM BULK RES 3 - SUMMER STD ELS005</t>
  </si>
  <si>
    <t>MMM BULK RES 3 - SUMMER OFF PEAK ELO005</t>
  </si>
  <si>
    <t>MMM BULK RES 3 - WINTER STD ELHS05</t>
  </si>
  <si>
    <t>MMM BULK RES 3 - BASIC CHARGE ACC005</t>
  </si>
  <si>
    <t>MMM BUSINESS FLAT - SUMMER CONV ELSM05</t>
  </si>
  <si>
    <t>MMM BUSINESS FLAT - WINTER CONV EL0005</t>
  </si>
  <si>
    <t>MMM CFLEX - 1 PHASE SUMMER PEAK E1CLDP</t>
  </si>
  <si>
    <t>MMM CFLEX - 1 PHASE SUMMER STD E1CLDS</t>
  </si>
  <si>
    <t>MMM CFLEX - 1 PHASE SUMMER OFF PEAK E1CLDO</t>
  </si>
  <si>
    <t>MMM CFLEX - 1 PHASE WINTER PEAK E1CHDP</t>
  </si>
  <si>
    <t>MMM CFLEX - 1 PHASE WINTER STD E1CHDS</t>
  </si>
  <si>
    <t>MMM CFLEX - 1 PHASE WINTER OFF PEAK E1CHDO</t>
  </si>
  <si>
    <t>MMM CFLEX - 1 PHASE BASIC CHARGE ELCEBC</t>
  </si>
  <si>
    <t>MMM CFLEX - 3 PHASE SUMMER OFF-PEAK ELCLDO</t>
  </si>
  <si>
    <t>MMM ELFLEX 1 - ENERGY SUMMER STD ELS001</t>
  </si>
  <si>
    <t>MMM ELFLEX 1 - ENERGY SUMMER OFF PEAK ELO001</t>
  </si>
  <si>
    <t>MMM ELFLEX 1 - ENERGY WINTER STD ELHS01</t>
  </si>
  <si>
    <t>MMM ELFLEX 1 - ENERGY WINTER OFF PEAK ELHO01</t>
  </si>
  <si>
    <t>MMM ELFLEX 1 - DEMAND CHARGE ELK001</t>
  </si>
  <si>
    <t>MMM ELFLEX 2 - ENERGY WINTER STD ELHS02</t>
  </si>
  <si>
    <t>MMM ELFLEX 2 - ENERGY WINTER OFF PEAK ELHO02</t>
  </si>
  <si>
    <t>MMM ELFLEX 2 - BASIC CHARGE</t>
  </si>
  <si>
    <t>MMM ELFLEX 2 - ACCESS CHARGE</t>
  </si>
  <si>
    <t>MMM ELFLEX 3 - ENERGY WINTER STD ELHS03</t>
  </si>
  <si>
    <t>MMM ELFLEX 3 - DEMAND CHARGE ELK003</t>
  </si>
  <si>
    <t>CEN DEPART TOU ENERGY WINTER STD CNHS01</t>
  </si>
  <si>
    <t>CEN DEPART TOU ENERGY SUMMER PEAK CENP01</t>
  </si>
  <si>
    <t>CEN DEPART TOU ENERGY SUMMER OFF PEAK CEN001</t>
  </si>
  <si>
    <t>CEN DEPART TOU ENERGY WINTER OFF PEAK CNHO01</t>
  </si>
  <si>
    <t>MMM SPORTS STAD SUMMER PEAK MSP01</t>
  </si>
  <si>
    <t>MMM SPORTS STAD SUMMER STD MSS01</t>
  </si>
  <si>
    <t>MMM SPORTS STAD WINTER PEAK MHP001</t>
  </si>
  <si>
    <t>MMM SPORTS STAD SUMMER OFF PEAK MSO01</t>
  </si>
  <si>
    <t>MMM SPORTS STAD WINTER STD MHS001</t>
  </si>
  <si>
    <t>MMM SPORTS STAD WINTER OFF PEAK MHO001</t>
  </si>
  <si>
    <t>MMM ELFLEX 3 - ENERGY WINTER OFF PEAK ELHO03</t>
  </si>
  <si>
    <t>MMM ELFLEX 3 - ACCESS CHARGE</t>
  </si>
  <si>
    <t>MMM ELFLEX 3 - ENERGY SUMMER STD ELS003</t>
  </si>
  <si>
    <t>MMM ELFLEX 3 - ENERGY SUMMER OFF PEAK ELO003</t>
  </si>
  <si>
    <t>MMM ELFLEX 3 - ENERGY SUMMER PEAK ELP003</t>
  </si>
  <si>
    <t>MMM ELFLEX 3 - BASIC CHARGE</t>
  </si>
  <si>
    <t>MMM ELFLEX 2 - DEMAND CHARGE ELK002</t>
  </si>
  <si>
    <t>MMM ELFLEX 2 - ENERGY SUMMER OFF PEAK ELO002</t>
  </si>
  <si>
    <t>MMM ELFLEX 2 - ENERGY SUMMER STD ELS002</t>
  </si>
  <si>
    <t>MMM ELFLEX 2 - ENERGY SUMMER PEAK ELP002</t>
  </si>
  <si>
    <t>MMM ELECFLEX 1</t>
  </si>
  <si>
    <t>MMM ELFLEX 1 - BASIC CHARGE</t>
  </si>
  <si>
    <t xml:space="preserve">MMM ELFLEX 1 - ACCESS CHARGE </t>
  </si>
  <si>
    <t>MMM CFLEX - 3 PHASE SUMMER PEAK ELCLDP</t>
  </si>
  <si>
    <t>MMM CFLEX - 3 PHASE SUMMER STD ELCLDS</t>
  </si>
  <si>
    <t>MMM CFLEX - 3 PHASE WINTER OFF-PEAK ELCHDO</t>
  </si>
  <si>
    <t>MMM BUSINESS FLAT - SUMMER PREPAID</t>
  </si>
  <si>
    <t>MMM BUSINESS FLAT - WINTER PREPAID</t>
  </si>
  <si>
    <t>MMM IBT DOMESTIC SUMMER PREPAID</t>
  </si>
  <si>
    <t>MMM IBT DOMESTIC WINTER PREPAID</t>
  </si>
  <si>
    <t>MMM IBT DOMESTIC SUMMER CONV ELSM01</t>
  </si>
  <si>
    <t>MMM IBT DOMESTIC WINTER CONV EL0001</t>
  </si>
  <si>
    <t>2021/2022</t>
  </si>
  <si>
    <t>% Increase (for 20/21)</t>
  </si>
  <si>
    <t>Homeflex Tariff  Single Phase</t>
  </si>
  <si>
    <t>Comflex Single Phase</t>
  </si>
  <si>
    <t>Comflex Three Phase</t>
  </si>
  <si>
    <t>Homeflex Tariff  Three Phase</t>
  </si>
  <si>
    <t>TARIFF SUMMARY 2019-20</t>
  </si>
  <si>
    <t>ACCESS</t>
  </si>
  <si>
    <t>2022/2023</t>
  </si>
  <si>
    <t>Budget 2018/19</t>
  </si>
  <si>
    <t>Revised Budget 2018/19</t>
  </si>
  <si>
    <t>-</t>
  </si>
  <si>
    <t>Adjustments 2018/19</t>
  </si>
  <si>
    <t>RAND VALUES</t>
  </si>
  <si>
    <t>MSCOA TARIFF STRUCTURE - SERVICE CHARGES</t>
  </si>
  <si>
    <t>SALES</t>
  </si>
  <si>
    <t>TOTAL SALES AS PER STRUCTURE</t>
  </si>
  <si>
    <t>P132112</t>
  </si>
  <si>
    <t>1407132112118ZZZZZ11</t>
  </si>
  <si>
    <t>14</t>
  </si>
  <si>
    <t>07</t>
  </si>
  <si>
    <t>MMM FLAT BUSINESS CONVENT WINTER EL0005</t>
  </si>
  <si>
    <t>1407132112218ZZZZZ11</t>
  </si>
  <si>
    <t>MMM FLAT BUSINESS CONVENT SUMMER ELSM05</t>
  </si>
  <si>
    <t>1407132112318ZZZZZ11</t>
  </si>
  <si>
    <t>MMM CFLEX - SING PHASE WINTR PEAK E1CHDP</t>
  </si>
  <si>
    <t>1407132112418ZZZZZ11</t>
  </si>
  <si>
    <t>MMM CFLEX - SIN PHASE WINTER STD E1CHDS</t>
  </si>
  <si>
    <t>1407132112518ZZZZZ11</t>
  </si>
  <si>
    <t>MMM CFLEX - SIN PHAS WIN OFF PEAK E1CHDO</t>
  </si>
  <si>
    <t>1407132112618ZZZZZ11</t>
  </si>
  <si>
    <t>MMM CFLEX - SIN PHASE SUMMER PEAK E1CLDP</t>
  </si>
  <si>
    <t>1407132112718ZZZZZ11</t>
  </si>
  <si>
    <t>MMM CFLEX - SIN PHASE SUMMER STD E1CLDS</t>
  </si>
  <si>
    <t>1407132112818ZZZZZ11</t>
  </si>
  <si>
    <t>MMM CFLEX - SIN PHA SUM OFF PEAK E1CLDO</t>
  </si>
  <si>
    <t>1407132112918ZZZZZ11</t>
  </si>
  <si>
    <t>MMM CFLEX - SIN PHASE BASIC CHRG ELCEBC</t>
  </si>
  <si>
    <t>P132113</t>
  </si>
  <si>
    <t>1407132113118ZZZZZ11</t>
  </si>
  <si>
    <t>1407132113218ZZZZZ11</t>
  </si>
  <si>
    <t>1407132113318ZZZZZ11</t>
  </si>
  <si>
    <t>MMM CFLEX - 3PHASE WIN OFF-PEAK ELCHDO</t>
  </si>
  <si>
    <t>1407132113418ZZZZZ11</t>
  </si>
  <si>
    <t>MMM CFLEX -3PHASE SUMMER PEAK ELCLDP</t>
  </si>
  <si>
    <t>1407132113518ZZZZZ11</t>
  </si>
  <si>
    <t>MMM CFLEX -3 PHASE SUM STANDARD ELCLDS</t>
  </si>
  <si>
    <t>1407132113618ZZZZZ11</t>
  </si>
  <si>
    <t>MMM CFLEX - 3 PHASE SUM OFF-PEAK ELCLDO</t>
  </si>
  <si>
    <t>1407132113718ZZZZZ11</t>
  </si>
  <si>
    <t>P132114</t>
  </si>
  <si>
    <t>1407132114118ZZZZZ11</t>
  </si>
  <si>
    <t>MMM BUSINESS FLAT RATE WINTER PREPAID</t>
  </si>
  <si>
    <t>1407132114218ZZZZZ11</t>
  </si>
  <si>
    <t>MMM BUSINESS FLAT RATE SUMMER PREPAID</t>
  </si>
  <si>
    <t>P132118</t>
  </si>
  <si>
    <t>1407132118118ZZZZZ11</t>
  </si>
  <si>
    <t>MMM IBT DOMESTIC CONVEN SUMMER ELSM01</t>
  </si>
  <si>
    <t>P132F111</t>
  </si>
  <si>
    <t>1407132119006FB1ZZ11</t>
  </si>
  <si>
    <t>06</t>
  </si>
  <si>
    <t>F1</t>
  </si>
  <si>
    <t>MMM INDIGENT IBT SUMMER FBE CONV &amp; PP</t>
  </si>
  <si>
    <t>P132119</t>
  </si>
  <si>
    <t>1407132119018ZZZZZ11</t>
  </si>
  <si>
    <t>MANGAUNG IBT DOMESTIC PREPAID SUMMER</t>
  </si>
  <si>
    <t>1407132119118ZZZZZ11</t>
  </si>
  <si>
    <t>MMM IBT DOMESTIC PREPAID WINTER</t>
  </si>
  <si>
    <t>P132120</t>
  </si>
  <si>
    <t>1407132120018ZZZZZ11</t>
  </si>
  <si>
    <t>MMM INDIGENT OTHER  SUMMER PP &amp; CONV</t>
  </si>
  <si>
    <t>P132121</t>
  </si>
  <si>
    <t>1407132121118ZZZZZ11</t>
  </si>
  <si>
    <t>1407132121218ZZZZZ11</t>
  </si>
  <si>
    <t>P132123</t>
  </si>
  <si>
    <t>1407132123118ZZZZZ11</t>
  </si>
  <si>
    <t>MMM IBT DOMESTIC CONVEN WINTER EL0001</t>
  </si>
  <si>
    <t>P132124</t>
  </si>
  <si>
    <t>1407132124118ZZZZZ11</t>
  </si>
  <si>
    <t>MMM HOMEFLEX - 3PHASE WINTER PEAK ELRHDP</t>
  </si>
  <si>
    <t>1407132124218ZZZZZ11</t>
  </si>
  <si>
    <t>MMM HOMEFLEX - 3PHASE WINTE STAND ELRHDS</t>
  </si>
  <si>
    <t>1407132124318ZZZZZ11</t>
  </si>
  <si>
    <t>MMM HOMEF HIGH DEM OFF-P 3 PH ELRHDO</t>
  </si>
  <si>
    <t>1407132124418ZZZZZ11</t>
  </si>
  <si>
    <t>1407132124518ZZZZZ11</t>
  </si>
  <si>
    <t>MMM HOMEF LOW DEM STAN 3 PH ELRLDS</t>
  </si>
  <si>
    <t>1407132124618ZZZZZ11</t>
  </si>
  <si>
    <t>MMM HFLEX - 3PHASE SUMMR OFF-PEAK ELRLDO</t>
  </si>
  <si>
    <t>1407132124718ZZZZZ11</t>
  </si>
  <si>
    <t>1407132124818ZZZZZ11</t>
  </si>
  <si>
    <t>MMM HFLEX - SINGLE PHASE WINTER E1RHDP</t>
  </si>
  <si>
    <t>1407132124918ZZZZZ11</t>
  </si>
  <si>
    <t>MMM HFLEX - SINGLE PHAS WINTR STD E1RHDS</t>
  </si>
  <si>
    <t>1407132124A18ZZZZZ11</t>
  </si>
  <si>
    <t>A</t>
  </si>
  <si>
    <t>MMM HFELEX -SIN PHASE WINT OFF PE E1RHDO</t>
  </si>
  <si>
    <t>1407132124B18ZZZZZ11</t>
  </si>
  <si>
    <t>B</t>
  </si>
  <si>
    <t>MMM HFLEX - SINGL PHAS SUMM PEAK E1RLDP</t>
  </si>
  <si>
    <t>1407132124C18ZZZZZ11</t>
  </si>
  <si>
    <t>C</t>
  </si>
  <si>
    <t>MMM HFLEX - SING PHASE SUMM STD E1RLDS</t>
  </si>
  <si>
    <t>1407132124D18ZZZZZ11</t>
  </si>
  <si>
    <t>D</t>
  </si>
  <si>
    <t>MMM CFLEX -SIN PHASE SUM OFF-PEAK ELCLDO</t>
  </si>
  <si>
    <t>1407132124E18ZZZZZ11</t>
  </si>
  <si>
    <t>E</t>
  </si>
  <si>
    <t>MMM HFLEX SING BASIC SER CHARGE ELREBC</t>
  </si>
  <si>
    <t>1407132124F18ZZZZZ11</t>
  </si>
  <si>
    <t>F</t>
  </si>
  <si>
    <t>MMM BULK RESIDEN 2 - WINTER PEAK ELHPO1</t>
  </si>
  <si>
    <t>1407132124G18ZZZZZ11</t>
  </si>
  <si>
    <t>G</t>
  </si>
  <si>
    <t>MMM BULK RESIDE 2 - WINTER STD ELHSO1</t>
  </si>
  <si>
    <t>1407132124H18ZZZZZ11</t>
  </si>
  <si>
    <t>MMM BULK RESIDEN 2 -WINT OFF PEAK ELH001</t>
  </si>
  <si>
    <t>1407132124I18ZZZZZ11</t>
  </si>
  <si>
    <t>I</t>
  </si>
  <si>
    <t>MMM BULK RESIDE - 2 SUMMER PEAK ELP004</t>
  </si>
  <si>
    <t>1407132124J18ZZZZZ11</t>
  </si>
  <si>
    <t>J</t>
  </si>
  <si>
    <t>MMM BULK RES 2 - SUMMER STAND ELS004</t>
  </si>
  <si>
    <t>1407132124K18ZZZZZ11</t>
  </si>
  <si>
    <t>K</t>
  </si>
  <si>
    <t>1407132124L18ZZZZZ11</t>
  </si>
  <si>
    <t>L</t>
  </si>
  <si>
    <t>MMM BULK RESL 2 - BASIC CHARGE ACC004</t>
  </si>
  <si>
    <t>1407132124M18ZZZZZ11</t>
  </si>
  <si>
    <t>M</t>
  </si>
  <si>
    <t>1407132124N18ZZZZZ11</t>
  </si>
  <si>
    <t>1407132124O18ZZZZZ11</t>
  </si>
  <si>
    <t>MMM BULK RESI 3 - WINTER STD ELHS05</t>
  </si>
  <si>
    <t>1407132124P18ZZZZZ11</t>
  </si>
  <si>
    <t>1407132124Q18ZZZZZ11</t>
  </si>
  <si>
    <t>Q</t>
  </si>
  <si>
    <t>1407132124R18ZZZZZ11</t>
  </si>
  <si>
    <t>MMM BULK RES 3 - SUMMER STANDARD ELS005</t>
  </si>
  <si>
    <t>1407132124S18ZZZZZ11</t>
  </si>
  <si>
    <t>MMM BULK RESI 3 - SUMMER OFF PEAK ELO005</t>
  </si>
  <si>
    <t>1407132124T18ZZZZZ11</t>
  </si>
  <si>
    <t>T</t>
  </si>
  <si>
    <t>MMM BULK RESI 3 - BASIC CHARGE ACC005</t>
  </si>
  <si>
    <t>1407132124U18ZZZZZ11</t>
  </si>
  <si>
    <t>U</t>
  </si>
  <si>
    <t>P132125</t>
  </si>
  <si>
    <t>1407132125218ZZZZZ11</t>
  </si>
  <si>
    <t>MMM INDIG IBT WINTER OTHER PREPAID&amp;CONV INEL01</t>
  </si>
  <si>
    <t>P132126</t>
  </si>
  <si>
    <t>1407132126118ZZZZZ11</t>
  </si>
  <si>
    <t>MMM ELFLEX 3ACCESS CHARGE BASIC ACC003</t>
  </si>
  <si>
    <t>1407132126218ZZZZZ11</t>
  </si>
  <si>
    <t>MMM ELFLEX 3DEMAND CHARGE KVA ELK 003</t>
  </si>
  <si>
    <t>1407132126318ZZZZZ11</t>
  </si>
  <si>
    <t>1407132126418ZZZZZ11</t>
  </si>
  <si>
    <t>MMM ELFLEX 3 - ENERGY WINTER STAN ELHS03</t>
  </si>
  <si>
    <t>1407132126518ZZZZZ11</t>
  </si>
  <si>
    <t>MMM ELFLEX 3-ENERGY WIN OFF PEAK ELHO03</t>
  </si>
  <si>
    <t>1407132126618ZZZZZ11</t>
  </si>
  <si>
    <t>MMM ELFLEX 3- ENERGY SUMMER PEAK ELP003</t>
  </si>
  <si>
    <t>1407132126718ZZZZZ11</t>
  </si>
  <si>
    <t>MMM ELFLEX 3-ENERGY SUMMER STAN ELS003</t>
  </si>
  <si>
    <t>1407132126818ZZZZZ11</t>
  </si>
  <si>
    <t>MMM ELFLEX 3 -ENERGY SUM OFF PEAK ELO003</t>
  </si>
  <si>
    <t>P132127</t>
  </si>
  <si>
    <t>1407132127118ZZZZZ11</t>
  </si>
  <si>
    <t>MMM ELFLEX 1 -ACCESS CHARG &amp; BASI ACC001</t>
  </si>
  <si>
    <t>1407132127218ZZZZZ11</t>
  </si>
  <si>
    <t>MMM ELECFLEX 1 - DEMAND CHARGE ELK001</t>
  </si>
  <si>
    <t>1407132127318ZZZZZ11</t>
  </si>
  <si>
    <t>1407132127418ZZZZZ11</t>
  </si>
  <si>
    <t>MMM ELFLEX 1 - ENERGY WINTER STAN ELHS01</t>
  </si>
  <si>
    <t>1407132127518ZZZZZ11</t>
  </si>
  <si>
    <t>MMM ELFLEX 1 - ENER WIN OFF PEAK ELHO01</t>
  </si>
  <si>
    <t>1407132127618ZZZZZ11</t>
  </si>
  <si>
    <t>1407132127718ZZZZZ11</t>
  </si>
  <si>
    <t>MMM ELFLEX 1 - ENERGY SUMMER STAN ELS001</t>
  </si>
  <si>
    <t>1407132127818ZZZZZ11</t>
  </si>
  <si>
    <t>MMM ELFLEX 1 - ENER SUM OFF PEAK ELO001</t>
  </si>
  <si>
    <t>1407132127918ZZZZZ11</t>
  </si>
  <si>
    <t>MMM ELFLEX 2 ACCESS CHARGE &amp; BASI ACC002</t>
  </si>
  <si>
    <t>1407132127A18ZZZZZ11</t>
  </si>
  <si>
    <t>MMM ELECFLEX 2 DEMAND CHARGE ELK002</t>
  </si>
  <si>
    <t>1407132127B18ZZZZZ11</t>
  </si>
  <si>
    <t>1407132127C18ZZZZZ11</t>
  </si>
  <si>
    <t>MMM ELFLEX 2 - ENERGY WINTER STAN ELHS02</t>
  </si>
  <si>
    <t>1407132127D18ZZZZZ11</t>
  </si>
  <si>
    <t>MMM ELFLEX 2 - ENERG WIN OFF PEAK ELHO02</t>
  </si>
  <si>
    <t>1407132127E18ZZZZZ11</t>
  </si>
  <si>
    <t>MMM ELFLEX 2-ENERGY SUMMER PEAK ELP002</t>
  </si>
  <si>
    <t>1407132127F18ZZZZZ11</t>
  </si>
  <si>
    <t>MMM ELFLEX 2-ENERGY SUMMER STAN ELS002</t>
  </si>
  <si>
    <t>1407132127G18ZZZZZ11</t>
  </si>
  <si>
    <t>MMM ELFLEX 2-ENERGY SUM OFF PEAK ELO002</t>
  </si>
  <si>
    <t>P132128</t>
  </si>
  <si>
    <t>1407132128118ZZZZZ11</t>
  </si>
  <si>
    <t>128</t>
  </si>
  <si>
    <t>1407132128218ZZZZZ11</t>
  </si>
  <si>
    <t>CEN ENER HIGH DEMAND STANDARD CNHS01</t>
  </si>
  <si>
    <t>1407132128318ZZZZZ11</t>
  </si>
  <si>
    <t>CEN DEPART TOU ENERG WIN OFF PEAK CNHO01</t>
  </si>
  <si>
    <t>1407132128418ZZZZZ11</t>
  </si>
  <si>
    <t>CEN DEPAR TOU ENERGY SUMMER PEAK CENP01</t>
  </si>
  <si>
    <t>1407132128518ZZZZZ11</t>
  </si>
  <si>
    <t>1407132128618ZZZZZ11</t>
  </si>
  <si>
    <t>CEN DEPAR TOU ENER SUMM OFF PEAK CEN001</t>
  </si>
  <si>
    <t>P132131</t>
  </si>
  <si>
    <t>1407132131118ZZZZZ11</t>
  </si>
  <si>
    <t>131</t>
  </si>
  <si>
    <t>MMM SPORTS STADIUMS WINT PEAK MHP001</t>
  </si>
  <si>
    <t>1407132131218ZZZZZ11</t>
  </si>
  <si>
    <t>MMM SPORTS STAD ENERGY WIN SUM MHS001</t>
  </si>
  <si>
    <t>1407132131318ZZZZZ11</t>
  </si>
  <si>
    <t>MMM SPORTS STAD ENER WINT OFF PEA MHO001</t>
  </si>
  <si>
    <t>1407132131418ZZZZZ11</t>
  </si>
  <si>
    <t>MMM SPORTS STAD ENERGY SUM PEAK MSP01</t>
  </si>
  <si>
    <t>1407132131518ZZZZZ11</t>
  </si>
  <si>
    <t>MMM SPORTS STAD ENERGY SUMMER STD MSS01</t>
  </si>
  <si>
    <t>1407132131618ZZZZZ11</t>
  </si>
  <si>
    <t>MMM SPORTS STAD ENER SUM OFF PEAK MSO01</t>
  </si>
  <si>
    <t>132</t>
  </si>
  <si>
    <t>NEW</t>
  </si>
  <si>
    <t>Unique ID</t>
  </si>
  <si>
    <t>DIRECTORATE</t>
  </si>
  <si>
    <t>COST CENTRE</t>
  </si>
  <si>
    <t>P132104</t>
  </si>
  <si>
    <t>CATEGORY</t>
  </si>
  <si>
    <t>ITEM</t>
  </si>
  <si>
    <t>SUB-ITEM</t>
  </si>
  <si>
    <t>FUND</t>
  </si>
  <si>
    <t>PROJECT</t>
  </si>
  <si>
    <t>COST</t>
  </si>
  <si>
    <t>REGION</t>
  </si>
  <si>
    <t>Increase /(Decrease)</t>
  </si>
  <si>
    <t>Adjustment Budget 2018-19</t>
  </si>
  <si>
    <t>MMM INDIGENT - FBE</t>
  </si>
  <si>
    <t>NEW VOTES TO BE CREATED</t>
  </si>
  <si>
    <t>NEW VOTE TO BE CREATED</t>
  </si>
  <si>
    <t>MSCOA TARIFF STRUCTURE</t>
  </si>
  <si>
    <t>DIFF IS FBE EXPENSE</t>
  </si>
  <si>
    <t>INDIGENT FBE SUMMER CONV &amp; PP INELSM1</t>
  </si>
  <si>
    <t>INDIGENT FBE WINTER CONV &amp; PP INEL01</t>
  </si>
  <si>
    <t>TOTAL REVENUE PER  BUDGET</t>
  </si>
  <si>
    <t>TOTAL ROTATIONAL AND PREPAID</t>
  </si>
  <si>
    <t>FBE CALCULATION:</t>
  </si>
  <si>
    <t>Number of Indigents</t>
  </si>
  <si>
    <t xml:space="preserve">Winter </t>
  </si>
  <si>
    <t>Seasons</t>
  </si>
  <si>
    <t>Free Kilowatt HRS</t>
  </si>
  <si>
    <t>Tariff for 2019/20</t>
  </si>
  <si>
    <t>Monthly FBE Rand value</t>
  </si>
  <si>
    <t>Annual FBE Rand Value</t>
  </si>
  <si>
    <t xml:space="preserve">Randvalue </t>
  </si>
  <si>
    <t>INDIGENT FBE SUMMER CONV &amp; INELSM1</t>
  </si>
  <si>
    <t>INDIGENT FBE WINTER CONV &amp; INEL01</t>
  </si>
  <si>
    <t>Indigent IBT PP</t>
  </si>
  <si>
    <t>FBE 50 Units</t>
  </si>
  <si>
    <t>No Of Consumers</t>
  </si>
  <si>
    <t>Total kWh</t>
  </si>
  <si>
    <t>Total R-Value</t>
  </si>
  <si>
    <t>Total FBE</t>
  </si>
  <si>
    <t>MONTHS</t>
  </si>
  <si>
    <t>Average Indigents</t>
  </si>
  <si>
    <t>MTREF Budget 2019-20</t>
  </si>
  <si>
    <t>MTREF  Budget 2020-21</t>
  </si>
  <si>
    <t>MTREF Budget 2021-22</t>
  </si>
  <si>
    <t>1407132127H18ZZZZZ11</t>
  </si>
  <si>
    <t>1407132127K18ZZZZZ11</t>
  </si>
  <si>
    <t>1407132127M18ZZZZZ11</t>
  </si>
  <si>
    <t>1407132125418ZZZZZ11</t>
  </si>
  <si>
    <t>1407132125318ZZZZZ11</t>
  </si>
  <si>
    <t>% Increase (for 21/22)</t>
  </si>
  <si>
    <t>2023/2024</t>
  </si>
  <si>
    <t>% Increase (for 22/23)</t>
  </si>
  <si>
    <t>% Increase (for 2023/24)</t>
  </si>
  <si>
    <t>DISCONTINUED</t>
  </si>
  <si>
    <t>Peak (kWh)</t>
  </si>
  <si>
    <t>Standard (kWh)</t>
  </si>
  <si>
    <t>Off Peak (kWh)</t>
  </si>
  <si>
    <t>2024/2025</t>
  </si>
  <si>
    <t>2023/2024 IMPORT</t>
  </si>
  <si>
    <t>2023/2024 EXPORT</t>
  </si>
  <si>
    <t>Budget Increase 15,10%</t>
  </si>
  <si>
    <t>ELEC SALES: COMMERC CONVEN SINGLE PHASE</t>
  </si>
  <si>
    <t>ELEC SALES: DOMESTIC HIGH HOME POWER 1</t>
  </si>
  <si>
    <t>ELEC SALES: DOMESTIC HIGH HOME POWER 2</t>
  </si>
  <si>
    <t>ELEC SALES: DOMESTIC LOW:  PREPAID</t>
  </si>
  <si>
    <t>ELEC SALES: DOMESTIC HIGH HOME POWER 3</t>
  </si>
  <si>
    <t>ELEC SALES: DOMESTI HIGH HOME POWER BULK</t>
  </si>
  <si>
    <t>ELEC SALES: DOMESTIC HIGH HOME POWER 4</t>
  </si>
  <si>
    <t>ELEC SALES: COMMERCIAL CONVEN 3-PHASE</t>
  </si>
  <si>
    <t>ELEC SALES: INDUSTRIAL 400 VOLTS (LOW)</t>
  </si>
  <si>
    <t>ELEC SALES: DOMESTIC HIGH PREPAID</t>
  </si>
  <si>
    <t>ELEC SALES: DOMESTI LOW HOME LIGHT 2 20A</t>
  </si>
  <si>
    <t>ELEC SALES: DOMESTI LOW HOME LIGHT 1 60A</t>
  </si>
  <si>
    <t>ELEC SALES: INDUSTR 11 000 VOLTS (HIGH)</t>
  </si>
  <si>
    <t>2025/2026</t>
  </si>
  <si>
    <t>SSEG (NEW)</t>
  </si>
  <si>
    <t xml:space="preserve">REPLACED BY NEW SSEG TARIFF </t>
  </si>
  <si>
    <t>Applicable Import Tariff (Homeflex 1 &amp; 3 Phase, Comflex 1 &amp; 3 Phase, Elecflex 1, 2 &amp; 3, Bulk Resell 2 &amp; 3)</t>
  </si>
  <si>
    <t>MTREF 2026/27</t>
  </si>
  <si>
    <t>Free Basic Electricity</t>
  </si>
  <si>
    <t>2026/2027</t>
  </si>
  <si>
    <t>% Increase (for 2024/25)</t>
  </si>
  <si>
    <t>% Increase (for 2025/26)</t>
  </si>
  <si>
    <t>% Increase (for 2026/27)</t>
  </si>
  <si>
    <t>Actual 2022/23</t>
  </si>
  <si>
    <t>MMM HOMEFLEX THREE PHASE</t>
  </si>
  <si>
    <t>MMM DEPARTMENTAL (CONVENTIONAL &amp; PREPAID)</t>
  </si>
  <si>
    <t>MMM DEPARTMENTAL (STREETLIGHTS)</t>
  </si>
  <si>
    <t>MMM DEPARTMENTAL FLAT RATE (STREETLIGHTS)</t>
  </si>
  <si>
    <t>ENERGY - KWH</t>
  </si>
  <si>
    <t>DEMAND - KVA</t>
  </si>
  <si>
    <t>BASIC CHARGES</t>
  </si>
  <si>
    <t>Total less Free Basic Electricity</t>
  </si>
  <si>
    <t>Grand Total</t>
  </si>
  <si>
    <t>GRAND TOTAL</t>
  </si>
  <si>
    <t>PROJECTED kWh</t>
  </si>
  <si>
    <t>SSEG (BASICCHARGE)</t>
  </si>
  <si>
    <t>BUDGET 2023/2024</t>
  </si>
  <si>
    <t>Proposed Percentage (%) Increase:</t>
  </si>
  <si>
    <t>ANNEXURE A</t>
  </si>
  <si>
    <t>MTREF 2027/28</t>
  </si>
  <si>
    <t>2027/2028</t>
  </si>
  <si>
    <t>% Increase (for 2027/28)</t>
  </si>
  <si>
    <t>2028/2029</t>
  </si>
  <si>
    <t>MMM ELFLEX 1 - ACCESS CHARGE</t>
  </si>
  <si>
    <t>MTREF 2028/29</t>
  </si>
  <si>
    <t>BUDGET 2024/25</t>
  </si>
  <si>
    <t>MTREF 2025/26</t>
  </si>
  <si>
    <t>2024/2025 TO 2027/2028</t>
  </si>
  <si>
    <t>TARIFF SUMMARY 2025-2026 FINANCIAL YEAR                                      ANNEXURE A</t>
  </si>
  <si>
    <t>DEPARTMENTAL (STREETLIGHTS)</t>
  </si>
  <si>
    <t>INDIGENT - OTHER THAN FBE</t>
  </si>
  <si>
    <t>TARIFF SUMMARY 2026-2027 FINANCIAL YEAR                                      ANNEXURE A</t>
  </si>
  <si>
    <t xml:space="preserve">                                          </t>
  </si>
  <si>
    <t>BASIC CHARGE</t>
  </si>
  <si>
    <t>Basic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</si>
</sst>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R&quot;* #,##0.00_-;\-&quot;R&quot;* #,##0.00_-;_-&quot;R&quot;* &quot;-&quot;??_-;_-@_-"/>
    <numFmt numFmtId="164" formatCode="_(* #,##0_);_(* \(#,##0\);_(* &quot;-&quot;_);_(@_)"/>
    <numFmt numFmtId="165" formatCode="_(* #,##0.00_);_(* \(#,##0.00\);_(* &quot;-&quot;??_);_(@_)"/>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
    <numFmt numFmtId="172" formatCode="00"/>
    <numFmt numFmtId="173" formatCode="000"/>
    <numFmt numFmtId="174" formatCode="&quot;R&quot;\ #,##0.00"/>
    <numFmt numFmtId="175" formatCode="&quot;R&quot;#,##0.00;[Red]&quot;R&quot;#,##0.00"/>
    <numFmt numFmtId="176" formatCode="_ * #,##0_ ;_ * \-#,##0_ ;_ * &quot;-&quot;??_ ;_ @_ "/>
    <numFmt numFmtId="177" formatCode="[$R-1C09]\ #,##0.00"/>
    <numFmt numFmtId="178" formatCode="_(* #,##0.0_);_(* \(#,##0.0\);_(* &quot;-&quot;?_);_(@_)"/>
    <numFmt numFmtId="179" formatCode="_(* #,##0_);_(* \(#,##0\);_(* &quot;-&quot;??_);_(@_)"/>
    <numFmt numFmtId="180" formatCode="&quot;R&quot;\ #,##0.0000"/>
    <numFmt numFmtId="181" formatCode="_ &quot;R&quot;\ * #,##0.000_ ;_ &quot;R&quot;\ * \-#,##0.000_ ;_ &quot;R&quot;\ * &quot;-&quot;??_ ;_ @_ "/>
    <numFmt numFmtId="182" formatCode="0.0000"/>
  </numFmts>
  <fonts count="96" x14ac:knownFonts="1">
    <font>
      <sz val="11"/>
      <color theme="1"/>
      <name val="Calibri"/>
      <family val="2"/>
      <scheme val="minor"/>
    </font>
    <font>
      <sz val="11"/>
      <color theme="1"/>
      <name val="Calibri"/>
      <family val="2"/>
      <scheme val="minor"/>
    </font>
    <font>
      <sz val="10"/>
      <name val="MS Sans Serif"/>
      <family val="2"/>
    </font>
    <font>
      <sz val="8"/>
      <color theme="1"/>
      <name val="Arial"/>
      <family val="2"/>
    </font>
    <font>
      <sz val="8"/>
      <name val="Arial"/>
      <family val="2"/>
    </font>
    <font>
      <b/>
      <sz val="8"/>
      <color theme="0"/>
      <name val="Arial"/>
      <family val="2"/>
    </font>
    <font>
      <sz val="8"/>
      <color rgb="FFFF0000"/>
      <name val="Arial"/>
      <family val="2"/>
    </font>
    <font>
      <sz val="10"/>
      <name val="Arial"/>
      <family val="2"/>
    </font>
    <font>
      <sz val="1"/>
      <color indexed="16"/>
      <name val="Courier"/>
      <family val="3"/>
    </font>
    <font>
      <sz val="11"/>
      <color indexed="8"/>
      <name val="Calibri"/>
      <family val="2"/>
    </font>
    <font>
      <sz val="9"/>
      <color theme="1"/>
      <name val="Arial"/>
      <family val="2"/>
    </font>
    <font>
      <b/>
      <sz val="8"/>
      <name val="Arial"/>
      <family val="2"/>
    </font>
    <font>
      <b/>
      <sz val="11"/>
      <color theme="1"/>
      <name val="Calibri"/>
      <family val="2"/>
      <scheme val="minor"/>
    </font>
    <font>
      <sz val="10"/>
      <color theme="1"/>
      <name val="Courier New"/>
      <family val="3"/>
    </font>
    <font>
      <sz val="11"/>
      <name val="Calibri"/>
      <family val="2"/>
      <scheme val="minor"/>
    </font>
    <font>
      <b/>
      <sz val="10"/>
      <color theme="1"/>
      <name val="Courier New"/>
      <family val="3"/>
    </font>
    <font>
      <b/>
      <sz val="14"/>
      <color theme="1"/>
      <name val="Calibri"/>
      <family val="2"/>
      <scheme val="minor"/>
    </font>
    <font>
      <b/>
      <u/>
      <sz val="16"/>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b/>
      <sz val="12"/>
      <color rgb="FFFF0000"/>
      <name val="Calibri"/>
      <family val="2"/>
      <scheme val="minor"/>
    </font>
    <font>
      <sz val="12"/>
      <color rgb="FFFF0000"/>
      <name val="Calibri"/>
      <family val="2"/>
      <scheme val="minor"/>
    </font>
    <font>
      <b/>
      <sz val="10"/>
      <name val="Arial"/>
      <family val="2"/>
    </font>
    <font>
      <sz val="10"/>
      <color theme="1"/>
      <name val="Arial"/>
      <family val="2"/>
    </font>
    <font>
      <b/>
      <sz val="10"/>
      <color theme="1"/>
      <name val="Arial"/>
      <family val="2"/>
    </font>
    <font>
      <b/>
      <sz val="11"/>
      <name val="Calibri"/>
      <family val="2"/>
      <scheme val="minor"/>
    </font>
    <font>
      <sz val="11"/>
      <color rgb="FFFFFFFF"/>
      <name val="Calibri"/>
      <family val="2"/>
    </font>
    <font>
      <sz val="10"/>
      <color theme="1"/>
      <name val="Times New Roman"/>
      <family val="1"/>
    </font>
    <font>
      <sz val="11"/>
      <color rgb="FF000000"/>
      <name val="Calibri"/>
      <family val="2"/>
    </font>
    <font>
      <sz val="12"/>
      <color theme="1"/>
      <name val="Times New Roman"/>
      <family val="1"/>
    </font>
    <font>
      <sz val="11"/>
      <color rgb="FFFF0000"/>
      <name val="Calibri"/>
      <family val="2"/>
      <scheme val="minor"/>
    </font>
    <font>
      <u/>
      <sz val="11"/>
      <color theme="10"/>
      <name val="Calibri"/>
      <family val="2"/>
      <scheme val="minor"/>
    </font>
    <font>
      <u/>
      <sz val="11"/>
      <color theme="11"/>
      <name val="Calibri"/>
      <family val="2"/>
      <scheme val="minor"/>
    </font>
    <font>
      <sz val="11"/>
      <name val="Arial Narrow"/>
      <family val="2"/>
    </font>
    <font>
      <b/>
      <sz val="11"/>
      <color rgb="FFFF0000"/>
      <name val="Calibri"/>
      <family val="2"/>
      <scheme val="minor"/>
    </font>
    <font>
      <b/>
      <sz val="11"/>
      <color rgb="FF00B050"/>
      <name val="Calibri"/>
      <family val="2"/>
      <scheme val="minor"/>
    </font>
    <font>
      <b/>
      <sz val="11"/>
      <color rgb="FF0070C0"/>
      <name val="Calibri"/>
      <family val="2"/>
      <scheme val="minor"/>
    </font>
    <font>
      <b/>
      <sz val="9"/>
      <color indexed="81"/>
      <name val="Tahoma"/>
      <family val="2"/>
    </font>
    <font>
      <sz val="9"/>
      <color indexed="81"/>
      <name val="Tahoma"/>
      <family val="2"/>
    </font>
    <font>
      <b/>
      <sz val="12"/>
      <name val="Arial"/>
      <family val="2"/>
    </font>
    <font>
      <b/>
      <sz val="14"/>
      <name val="Arial"/>
      <family val="2"/>
    </font>
    <font>
      <b/>
      <sz val="11"/>
      <name val="Calibri"/>
      <family val="2"/>
    </font>
    <font>
      <sz val="11"/>
      <color theme="1"/>
      <name val="Calibri"/>
      <family val="2"/>
    </font>
    <font>
      <sz val="11"/>
      <color rgb="FF1F497D"/>
      <name val="Calibri"/>
      <family val="2"/>
      <scheme val="minor"/>
    </font>
    <font>
      <b/>
      <sz val="11"/>
      <color rgb="FFFF0000"/>
      <name val="Calibri"/>
      <family val="2"/>
    </font>
    <font>
      <sz val="10"/>
      <color rgb="FFFF0000"/>
      <name val="Times New Roman"/>
      <family val="1"/>
    </font>
    <font>
      <sz val="11"/>
      <color rgb="FFFF0000"/>
      <name val="Calibri"/>
      <family val="2"/>
    </font>
    <font>
      <sz val="11"/>
      <color rgb="FFFF0000"/>
      <name val="Arial Narrow"/>
      <family val="2"/>
    </font>
    <font>
      <sz val="11"/>
      <name val="Calibri"/>
      <family val="2"/>
    </font>
    <font>
      <sz val="8"/>
      <name val="Arial Narrow"/>
      <family val="2"/>
    </font>
    <font>
      <b/>
      <sz val="8"/>
      <name val="Arial Narrow"/>
      <family val="2"/>
    </font>
    <font>
      <sz val="11"/>
      <color theme="1"/>
      <name val="Arial Narrow"/>
      <family val="2"/>
    </font>
    <font>
      <sz val="8"/>
      <color theme="1"/>
      <name val="Arial Narrow"/>
      <family val="2"/>
    </font>
    <font>
      <b/>
      <sz val="8"/>
      <color theme="1"/>
      <name val="Arial Narrow"/>
      <family val="2"/>
    </font>
    <font>
      <b/>
      <sz val="11"/>
      <color rgb="FF000000"/>
      <name val="Calibri"/>
      <family val="2"/>
    </font>
    <font>
      <b/>
      <sz val="11"/>
      <color theme="1"/>
      <name val="Calibri"/>
      <family val="2"/>
    </font>
    <font>
      <b/>
      <sz val="11"/>
      <color theme="1"/>
      <name val="Arial Narrow"/>
      <family val="2"/>
    </font>
    <font>
      <sz val="16"/>
      <color rgb="FF1F497D"/>
      <name val="Arial Narrow"/>
      <family val="2"/>
    </font>
    <font>
      <sz val="16"/>
      <color theme="1"/>
      <name val="Arial Narrow"/>
      <family val="2"/>
    </font>
    <font>
      <sz val="8"/>
      <color rgb="FF1F497D"/>
      <name val="Arial Narrow"/>
      <family val="2"/>
    </font>
    <font>
      <sz val="14"/>
      <color theme="1"/>
      <name val="Calibri"/>
      <family val="2"/>
    </font>
    <font>
      <sz val="16"/>
      <color theme="1"/>
      <name val="Calibri"/>
      <family val="2"/>
    </font>
    <font>
      <b/>
      <sz val="12"/>
      <color theme="1"/>
      <name val="Arial"/>
      <family val="2"/>
    </font>
    <font>
      <b/>
      <sz val="14"/>
      <name val="Calibri"/>
      <family val="2"/>
      <scheme val="minor"/>
    </font>
    <font>
      <sz val="11"/>
      <name val="Times New Roman"/>
      <family val="1"/>
    </font>
    <font>
      <sz val="11"/>
      <name val="Arial"/>
      <family val="2"/>
    </font>
    <font>
      <b/>
      <sz val="16"/>
      <color theme="1"/>
      <name val="Calibri"/>
      <family val="2"/>
      <scheme val="minor"/>
    </font>
    <font>
      <b/>
      <sz val="11"/>
      <color theme="0"/>
      <name val="Calibri"/>
      <family val="2"/>
    </font>
    <font>
      <b/>
      <i/>
      <sz val="10"/>
      <color theme="1"/>
      <name val="Arial"/>
      <family val="2"/>
    </font>
    <font>
      <sz val="10"/>
      <color rgb="FFFF0000"/>
      <name val="Arial"/>
      <family val="2"/>
    </font>
    <font>
      <sz val="10"/>
      <color rgb="FF7030A0"/>
      <name val="Arial"/>
      <family val="2"/>
    </font>
    <font>
      <b/>
      <sz val="10"/>
      <color rgb="FFFF0000"/>
      <name val="Arial"/>
      <family val="2"/>
    </font>
    <font>
      <sz val="11"/>
      <color theme="0"/>
      <name val="Calibri"/>
      <family val="2"/>
    </font>
    <font>
      <sz val="11"/>
      <color theme="1"/>
      <name val="Arial"/>
      <family val="2"/>
    </font>
    <font>
      <sz val="10"/>
      <name val="Times New Roman"/>
      <family val="1"/>
    </font>
    <font>
      <b/>
      <sz val="11"/>
      <color theme="1"/>
      <name val="Arial"/>
      <family val="2"/>
    </font>
    <font>
      <b/>
      <sz val="16"/>
      <color theme="1"/>
      <name val="Arial"/>
      <family val="2"/>
    </font>
    <font>
      <sz val="11"/>
      <color rgb="FFFF0000"/>
      <name val="Arial"/>
      <family val="2"/>
    </font>
    <font>
      <b/>
      <sz val="11"/>
      <name val="Arial"/>
      <family val="2"/>
    </font>
    <font>
      <sz val="11"/>
      <color theme="0"/>
      <name val="Arial"/>
      <family val="2"/>
    </font>
    <font>
      <b/>
      <sz val="11"/>
      <color rgb="FFFFFFFF"/>
      <name val="Calibri"/>
      <family val="2"/>
      <scheme val="minor"/>
    </font>
    <font>
      <sz val="11"/>
      <color rgb="FF000000"/>
      <name val="Calibri"/>
      <family val="2"/>
      <scheme val="minor"/>
    </font>
    <font>
      <sz val="12"/>
      <color theme="1"/>
      <name val="Arial"/>
      <family val="2"/>
    </font>
    <font>
      <b/>
      <sz val="16"/>
      <name val="Arial"/>
      <family val="2"/>
    </font>
    <font>
      <b/>
      <sz val="11"/>
      <name val="Calibri"/>
      <family val="2"/>
    </font>
    <font>
      <b/>
      <sz val="15"/>
      <color theme="3"/>
      <name val="Calibri"/>
      <family val="2"/>
      <scheme val="minor"/>
    </font>
    <font>
      <b/>
      <sz val="10"/>
      <name val="Courier New"/>
      <family val="3"/>
    </font>
    <font>
      <sz val="10"/>
      <name val="Courier New"/>
      <family val="3"/>
    </font>
    <font>
      <b/>
      <sz val="11"/>
      <name val="Calibri"/>
      <family val="2"/>
    </font>
    <font>
      <b/>
      <sz val="11"/>
      <color theme="0"/>
      <name val="Calibri"/>
      <family val="2"/>
    </font>
    <font>
      <sz val="11"/>
      <name val="Calibri"/>
      <family val="2"/>
    </font>
    <font>
      <sz val="11"/>
      <color rgb="FFFF0000"/>
      <name val="Calibri"/>
      <family val="2"/>
    </font>
    <font>
      <sz val="11"/>
      <name val="Arial Narrow"/>
      <family val="2"/>
    </font>
  </fonts>
  <fills count="39">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0"/>
        <bgColor theme="9" tint="0.39994506668294322"/>
      </patternFill>
    </fill>
    <fill>
      <patternFill patternType="solid">
        <fgColor rgb="FFFFFF00"/>
        <bgColor indexed="64"/>
      </patternFill>
    </fill>
    <fill>
      <patternFill patternType="solid">
        <fgColor rgb="FFFFFF99"/>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rgb="FFC00000"/>
        <bgColor indexed="64"/>
      </patternFill>
    </fill>
    <fill>
      <patternFill patternType="solid">
        <fgColor theme="4"/>
      </patternFill>
    </fill>
    <fill>
      <patternFill patternType="solid">
        <fgColor theme="4" tint="0.39997558519241921"/>
        <bgColor indexed="65"/>
      </patternFill>
    </fill>
    <fill>
      <patternFill patternType="solid">
        <fgColor theme="4"/>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rgb="FF4F81BD"/>
        <bgColor indexed="64"/>
      </patternFill>
    </fill>
    <fill>
      <patternFill patternType="solid">
        <fgColor rgb="FF95B3D7"/>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FF66"/>
        <bgColor indexed="64"/>
      </patternFill>
    </fill>
    <fill>
      <patternFill patternType="solid">
        <fgColor theme="2"/>
        <bgColor indexed="64"/>
      </patternFill>
    </fill>
    <fill>
      <patternFill patternType="solid">
        <fgColor theme="9" tint="0.39997558519241921"/>
        <bgColor indexed="64"/>
      </patternFill>
    </fill>
    <fill>
      <patternFill patternType="solid">
        <fgColor theme="6"/>
        <bgColor indexed="64"/>
      </patternFill>
    </fill>
    <fill>
      <patternFill patternType="solid">
        <fgColor theme="7" tint="0.59999389629810485"/>
        <bgColor indexed="64"/>
      </patternFill>
    </fill>
    <fill>
      <patternFill patternType="solid">
        <fgColor rgb="FF00FF00"/>
        <bgColor indexed="64"/>
      </patternFill>
    </fill>
    <fill>
      <patternFill patternType="solid">
        <fgColor rgb="FFFF00FF"/>
        <bgColor indexed="64"/>
      </patternFill>
    </fill>
    <fill>
      <patternFill patternType="solid">
        <fgColor rgb="FFB8FC74"/>
        <bgColor indexed="64"/>
      </patternFill>
    </fill>
    <fill>
      <patternFill patternType="solid">
        <fgColor theme="0" tint="-0.249977111117893"/>
        <bgColor indexed="64"/>
      </patternFill>
    </fill>
    <fill>
      <patternFill patternType="solid">
        <fgColor rgb="FFCCFF33"/>
        <bgColor indexed="64"/>
      </patternFill>
    </fill>
    <fill>
      <patternFill patternType="solid">
        <fgColor theme="9"/>
        <bgColor indexed="64"/>
      </patternFill>
    </fill>
    <fill>
      <patternFill patternType="solid">
        <fgColor theme="9" tint="0.59999389629810485"/>
        <bgColor indexed="64"/>
      </patternFill>
    </fill>
    <fill>
      <patternFill patternType="solid">
        <fgColor rgb="FFCCCCFF"/>
        <bgColor indexed="64"/>
      </patternFill>
    </fill>
  </fills>
  <borders count="5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top/>
      <bottom/>
      <diagonal/>
    </border>
    <border>
      <left/>
      <right/>
      <top style="thin">
        <color indexed="64"/>
      </top>
      <bottom style="double">
        <color indexed="64"/>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auto="1"/>
      </left>
      <right style="medium">
        <color auto="1"/>
      </right>
      <top style="thin">
        <color indexed="64"/>
      </top>
      <bottom style="medium">
        <color indexed="64"/>
      </bottom>
      <diagonal/>
    </border>
    <border>
      <left/>
      <right/>
      <top/>
      <bottom style="thick">
        <color theme="4"/>
      </bottom>
      <diagonal/>
    </border>
    <border>
      <left style="medium">
        <color auto="1"/>
      </left>
      <right style="medium">
        <color auto="1"/>
      </right>
      <top style="thin">
        <color indexed="64"/>
      </top>
      <bottom style="double">
        <color indexed="64"/>
      </bottom>
      <diagonal/>
    </border>
    <border>
      <left/>
      <right style="medium">
        <color auto="1"/>
      </right>
      <top style="thin">
        <color indexed="64"/>
      </top>
      <bottom style="double">
        <color indexed="64"/>
      </bottom>
      <diagonal/>
    </border>
    <border>
      <left style="thin">
        <color auto="1"/>
      </left>
      <right/>
      <top style="thin">
        <color indexed="64"/>
      </top>
      <bottom style="double">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right/>
      <top style="medium">
        <color indexed="64"/>
      </top>
      <bottom style="thin">
        <color auto="1"/>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thin">
        <color indexed="64"/>
      </top>
      <bottom/>
      <diagonal/>
    </border>
    <border>
      <left style="medium">
        <color indexed="64"/>
      </left>
      <right/>
      <top style="thin">
        <color auto="1"/>
      </top>
      <bottom/>
      <diagonal/>
    </border>
  </borders>
  <cellStyleXfs count="41">
    <xf numFmtId="0" fontId="0" fillId="0" borderId="0"/>
    <xf numFmtId="170" fontId="1" fillId="0" borderId="0" applyFont="0" applyFill="0" applyBorder="0" applyAlignment="0" applyProtection="0"/>
    <xf numFmtId="0" fontId="2" fillId="0" borderId="0"/>
    <xf numFmtId="170" fontId="7" fillId="0" borderId="0" applyFont="0" applyFill="0" applyBorder="0" applyAlignment="0" applyProtection="0"/>
    <xf numFmtId="170" fontId="7" fillId="0" borderId="0" applyFont="0" applyFill="0" applyBorder="0" applyAlignment="0" applyProtection="0"/>
    <xf numFmtId="171" fontId="8" fillId="0" borderId="0">
      <protection locked="0"/>
    </xf>
    <xf numFmtId="171" fontId="8" fillId="0" borderId="0">
      <protection locked="0"/>
    </xf>
    <xf numFmtId="171" fontId="8" fillId="0" borderId="0">
      <protection locked="0"/>
    </xf>
    <xf numFmtId="171" fontId="8" fillId="0" borderId="0">
      <protection locked="0"/>
    </xf>
    <xf numFmtId="171" fontId="8" fillId="0" borderId="0">
      <protection locked="0"/>
    </xf>
    <xf numFmtId="171" fontId="8" fillId="0" borderId="0">
      <protection locked="0"/>
    </xf>
    <xf numFmtId="171" fontId="8" fillId="0" borderId="0">
      <protection locked="0"/>
    </xf>
    <xf numFmtId="0" fontId="2" fillId="0" borderId="0"/>
    <xf numFmtId="0" fontId="9" fillId="0" borderId="0"/>
    <xf numFmtId="0" fontId="7" fillId="0" borderId="0"/>
    <xf numFmtId="0" fontId="2" fillId="0" borderId="0"/>
    <xf numFmtId="0" fontId="2" fillId="0" borderId="0"/>
    <xf numFmtId="0" fontId="2" fillId="0" borderId="0"/>
    <xf numFmtId="0" fontId="7" fillId="0" borderId="0"/>
    <xf numFmtId="0" fontId="2" fillId="0" borderId="0"/>
    <xf numFmtId="0" fontId="7" fillId="0" borderId="0"/>
    <xf numFmtId="0" fontId="10" fillId="0" borderId="0"/>
    <xf numFmtId="0" fontId="2" fillId="0" borderId="0"/>
    <xf numFmtId="0" fontId="2" fillId="0" borderId="0"/>
    <xf numFmtId="0" fontId="1" fillId="0" borderId="0"/>
    <xf numFmtId="0" fontId="1" fillId="0" borderId="0"/>
    <xf numFmtId="0" fontId="2" fillId="0" borderId="0"/>
    <xf numFmtId="0" fontId="18" fillId="12" borderId="0" applyNumberFormat="0" applyBorder="0" applyAlignment="0" applyProtection="0"/>
    <xf numFmtId="0" fontId="18" fillId="13" borderId="0" applyNumberFormat="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170" fontId="9" fillId="0" borderId="0" applyFont="0" applyFill="0" applyBorder="0" applyAlignment="0" applyProtection="0"/>
    <xf numFmtId="0" fontId="88" fillId="0" borderId="37" applyNumberFormat="0" applyFill="0" applyAlignment="0" applyProtection="0"/>
  </cellStyleXfs>
  <cellXfs count="1226">
    <xf numFmtId="0" fontId="0" fillId="0" borderId="0" xfId="0"/>
    <xf numFmtId="0" fontId="3" fillId="2" borderId="0" xfId="0" applyFont="1" applyFill="1" applyAlignment="1">
      <alignment horizontal="left" vertical="top"/>
    </xf>
    <xf numFmtId="0" fontId="3" fillId="2" borderId="0" xfId="0" applyFont="1" applyFill="1" applyAlignment="1">
      <alignment horizontal="left" vertical="top" wrapText="1"/>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xf>
    <xf numFmtId="49" fontId="3" fillId="5" borderId="0" xfId="0" applyNumberFormat="1" applyFont="1" applyFill="1" applyAlignment="1">
      <alignment horizontal="left" vertical="top" wrapText="1"/>
    </xf>
    <xf numFmtId="49" fontId="3" fillId="2" borderId="0" xfId="0" applyNumberFormat="1" applyFont="1" applyFill="1" applyAlignment="1">
      <alignment horizontal="left" vertical="top" wrapText="1"/>
    </xf>
    <xf numFmtId="49" fontId="6" fillId="2" borderId="0" xfId="0" applyNumberFormat="1" applyFont="1" applyFill="1" applyAlignment="1">
      <alignment horizontal="left" vertical="top" wrapText="1"/>
    </xf>
    <xf numFmtId="0" fontId="3" fillId="5" borderId="0" xfId="0" applyFont="1" applyFill="1" applyAlignment="1">
      <alignment horizontal="left" vertical="top"/>
    </xf>
    <xf numFmtId="0" fontId="11" fillId="4" borderId="1" xfId="0" applyFont="1" applyFill="1" applyBorder="1" applyAlignment="1">
      <alignment horizontal="center"/>
    </xf>
    <xf numFmtId="0" fontId="11" fillId="4" borderId="1" xfId="0" applyFont="1" applyFill="1" applyBorder="1" applyAlignment="1">
      <alignment horizontal="center" wrapText="1"/>
    </xf>
    <xf numFmtId="49" fontId="11" fillId="4" borderId="1" xfId="0" applyNumberFormat="1" applyFont="1" applyFill="1" applyBorder="1" applyAlignment="1">
      <alignment horizontal="center" wrapText="1"/>
    </xf>
    <xf numFmtId="49" fontId="11" fillId="4" borderId="1" xfId="0" quotePrefix="1" applyNumberFormat="1" applyFont="1" applyFill="1" applyBorder="1" applyAlignment="1">
      <alignment horizontal="center" wrapText="1"/>
    </xf>
    <xf numFmtId="0" fontId="5" fillId="0" borderId="0" xfId="0" applyFont="1" applyAlignment="1">
      <alignment horizontal="left" vertical="center"/>
    </xf>
    <xf numFmtId="0" fontId="11" fillId="0" borderId="0" xfId="0" applyFont="1" applyAlignment="1">
      <alignment horizontal="center"/>
    </xf>
    <xf numFmtId="0" fontId="11" fillId="0" borderId="0" xfId="0" applyFont="1" applyAlignment="1">
      <alignment horizontal="center" wrapText="1"/>
    </xf>
    <xf numFmtId="0" fontId="3" fillId="0" borderId="0" xfId="0" applyFont="1" applyAlignment="1">
      <alignment horizontal="left" vertical="top"/>
    </xf>
    <xf numFmtId="0" fontId="4" fillId="6" borderId="1" xfId="0" applyFont="1" applyFill="1" applyBorder="1" applyAlignment="1">
      <alignment horizontal="left" vertical="top" wrapText="1"/>
    </xf>
    <xf numFmtId="49" fontId="4" fillId="6" borderId="1" xfId="0" applyNumberFormat="1" applyFont="1" applyFill="1" applyBorder="1" applyAlignment="1">
      <alignment horizontal="left" vertical="top" wrapText="1"/>
    </xf>
    <xf numFmtId="49" fontId="4" fillId="6" borderId="3" xfId="0" applyNumberFormat="1" applyFont="1" applyFill="1" applyBorder="1" applyAlignment="1">
      <alignment horizontal="left" vertical="top" wrapText="1"/>
    </xf>
    <xf numFmtId="49" fontId="4" fillId="6" borderId="1" xfId="0" applyNumberFormat="1" applyFont="1" applyFill="1" applyBorder="1" applyAlignment="1">
      <alignment horizontal="left" vertical="top"/>
    </xf>
    <xf numFmtId="0" fontId="4" fillId="6" borderId="1" xfId="0" applyFont="1" applyFill="1" applyBorder="1" applyAlignment="1">
      <alignment horizontal="left" vertical="top"/>
    </xf>
    <xf numFmtId="0" fontId="4" fillId="6" borderId="1" xfId="2" applyFont="1" applyFill="1" applyBorder="1" applyAlignment="1">
      <alignment vertical="top" wrapText="1"/>
    </xf>
    <xf numFmtId="2" fontId="4" fillId="6" borderId="1" xfId="1" quotePrefix="1" applyNumberFormat="1" applyFont="1" applyFill="1" applyBorder="1" applyAlignment="1">
      <alignment vertical="top"/>
    </xf>
    <xf numFmtId="0" fontId="4" fillId="6" borderId="1" xfId="0" applyFont="1" applyFill="1" applyBorder="1" applyAlignment="1">
      <alignment vertical="top"/>
    </xf>
    <xf numFmtId="0" fontId="4" fillId="6" borderId="1" xfId="0" quotePrefix="1" applyFont="1" applyFill="1" applyBorder="1" applyAlignment="1">
      <alignment horizontal="left" vertical="top"/>
    </xf>
    <xf numFmtId="0" fontId="4" fillId="6" borderId="1" xfId="0" applyFont="1" applyFill="1" applyBorder="1" applyAlignment="1">
      <alignment vertical="top" wrapText="1"/>
    </xf>
    <xf numFmtId="49" fontId="4" fillId="6" borderId="1" xfId="0" applyNumberFormat="1" applyFont="1" applyFill="1" applyBorder="1" applyAlignment="1">
      <alignment vertical="top" wrapText="1"/>
    </xf>
    <xf numFmtId="11" fontId="4" fillId="6" borderId="1" xfId="0" applyNumberFormat="1" applyFont="1" applyFill="1" applyBorder="1" applyAlignment="1">
      <alignment horizontal="left" vertical="top" wrapText="1"/>
    </xf>
    <xf numFmtId="0" fontId="0" fillId="0" borderId="0" xfId="0" applyAlignment="1">
      <alignment horizontal="left"/>
    </xf>
    <xf numFmtId="170" fontId="1" fillId="0" borderId="0" xfId="1" applyFont="1" applyAlignment="1">
      <alignment horizontal="left"/>
    </xf>
    <xf numFmtId="0" fontId="13" fillId="0" borderId="0" xfId="0" applyFont="1" applyAlignment="1">
      <alignment horizontal="left"/>
    </xf>
    <xf numFmtId="172" fontId="13" fillId="0" borderId="0" xfId="0" applyNumberFormat="1" applyFont="1" applyAlignment="1">
      <alignment horizontal="left"/>
    </xf>
    <xf numFmtId="173" fontId="13" fillId="0" borderId="0" xfId="0" applyNumberFormat="1" applyFont="1" applyAlignment="1">
      <alignment horizontal="left"/>
    </xf>
    <xf numFmtId="1" fontId="13" fillId="0" borderId="0" xfId="0" applyNumberFormat="1" applyFont="1" applyAlignment="1">
      <alignment horizontal="left"/>
    </xf>
    <xf numFmtId="170" fontId="0" fillId="0" borderId="0" xfId="1" applyFont="1" applyBorder="1"/>
    <xf numFmtId="0" fontId="14" fillId="0" borderId="0" xfId="0" quotePrefix="1" applyFont="1" applyAlignment="1">
      <alignment horizontal="left" vertical="top"/>
    </xf>
    <xf numFmtId="0" fontId="12" fillId="0" borderId="0" xfId="0" applyFont="1"/>
    <xf numFmtId="0" fontId="16" fillId="0" borderId="0" xfId="0" applyFont="1"/>
    <xf numFmtId="0" fontId="11" fillId="0" borderId="1" xfId="0" applyFont="1" applyBorder="1" applyAlignment="1">
      <alignment horizontal="left" vertical="top" wrapText="1"/>
    </xf>
    <xf numFmtId="49" fontId="11" fillId="0" borderId="1"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49" fontId="11" fillId="0" borderId="1" xfId="0" applyNumberFormat="1" applyFont="1" applyBorder="1" applyAlignment="1">
      <alignment horizontal="left" vertical="top"/>
    </xf>
    <xf numFmtId="0" fontId="11" fillId="0" borderId="1" xfId="0" applyFont="1" applyBorder="1" applyAlignment="1">
      <alignment horizontal="left" vertical="top"/>
    </xf>
    <xf numFmtId="0" fontId="11" fillId="0" borderId="1" xfId="2" applyFont="1" applyBorder="1" applyAlignment="1">
      <alignment vertical="top" wrapText="1"/>
    </xf>
    <xf numFmtId="2" fontId="11" fillId="0" borderId="1" xfId="1" quotePrefix="1" applyNumberFormat="1" applyFont="1" applyFill="1" applyBorder="1" applyAlignment="1">
      <alignment vertical="top"/>
    </xf>
    <xf numFmtId="0" fontId="11" fillId="0" borderId="1" xfId="0" applyFont="1" applyBorder="1" applyAlignment="1">
      <alignment vertical="top"/>
    </xf>
    <xf numFmtId="0" fontId="11" fillId="0" borderId="1" xfId="0" quotePrefix="1" applyFont="1" applyBorder="1" applyAlignment="1">
      <alignment horizontal="left" vertical="top"/>
    </xf>
    <xf numFmtId="0" fontId="11" fillId="0" borderId="0" xfId="0" applyFont="1" applyAlignment="1">
      <alignment horizontal="left" vertical="top"/>
    </xf>
    <xf numFmtId="0" fontId="17" fillId="0" borderId="0" xfId="0" applyFont="1"/>
    <xf numFmtId="0" fontId="4" fillId="9" borderId="1" xfId="0" applyFont="1" applyFill="1" applyBorder="1" applyAlignment="1">
      <alignment vertical="top" wrapText="1"/>
    </xf>
    <xf numFmtId="49" fontId="4" fillId="9" borderId="1" xfId="0" applyNumberFormat="1" applyFont="1" applyFill="1" applyBorder="1" applyAlignment="1">
      <alignment horizontal="left" vertical="top" wrapText="1"/>
    </xf>
    <xf numFmtId="49" fontId="4" fillId="9" borderId="1" xfId="0" applyNumberFormat="1" applyFont="1" applyFill="1" applyBorder="1" applyAlignment="1">
      <alignment vertical="top" wrapText="1"/>
    </xf>
    <xf numFmtId="49" fontId="4" fillId="9" borderId="3" xfId="0" applyNumberFormat="1" applyFont="1" applyFill="1" applyBorder="1" applyAlignment="1">
      <alignment horizontal="left" vertical="top" wrapText="1"/>
    </xf>
    <xf numFmtId="49" fontId="4" fillId="9" borderId="1" xfId="0" applyNumberFormat="1" applyFont="1" applyFill="1" applyBorder="1" applyAlignment="1">
      <alignment horizontal="left" vertical="top"/>
    </xf>
    <xf numFmtId="0" fontId="4" fillId="9" borderId="1" xfId="0" applyFont="1" applyFill="1" applyBorder="1" applyAlignment="1">
      <alignment horizontal="left" vertical="top"/>
    </xf>
    <xf numFmtId="0" fontId="4" fillId="9" borderId="1" xfId="0" applyFont="1" applyFill="1" applyBorder="1" applyAlignment="1">
      <alignment horizontal="left" vertical="top" wrapText="1"/>
    </xf>
    <xf numFmtId="0" fontId="4" fillId="9" borderId="1" xfId="2" applyFont="1" applyFill="1" applyBorder="1" applyAlignment="1">
      <alignment vertical="top" wrapText="1"/>
    </xf>
    <xf numFmtId="2" fontId="4" fillId="9" borderId="1" xfId="1" quotePrefix="1" applyNumberFormat="1" applyFont="1" applyFill="1" applyBorder="1" applyAlignment="1">
      <alignment vertical="top"/>
    </xf>
    <xf numFmtId="0" fontId="4" fillId="9" borderId="1" xfId="0" applyFont="1" applyFill="1" applyBorder="1" applyAlignment="1">
      <alignment vertical="top"/>
    </xf>
    <xf numFmtId="0" fontId="4" fillId="9" borderId="1" xfId="0" quotePrefix="1" applyFont="1" applyFill="1" applyBorder="1" applyAlignment="1">
      <alignment horizontal="left" vertical="top"/>
    </xf>
    <xf numFmtId="0" fontId="11" fillId="4" borderId="1" xfId="0" applyFont="1" applyFill="1" applyBorder="1" applyAlignment="1">
      <alignment horizontal="left" vertical="top" wrapText="1"/>
    </xf>
    <xf numFmtId="49" fontId="11" fillId="4" borderId="1" xfId="0" applyNumberFormat="1" applyFont="1" applyFill="1" applyBorder="1" applyAlignment="1">
      <alignment horizontal="left" vertical="top" wrapText="1"/>
    </xf>
    <xf numFmtId="49" fontId="11" fillId="4" borderId="1" xfId="0" applyNumberFormat="1" applyFont="1" applyFill="1" applyBorder="1" applyAlignment="1">
      <alignment vertical="top" wrapText="1"/>
    </xf>
    <xf numFmtId="49" fontId="11" fillId="4" borderId="3" xfId="0" applyNumberFormat="1" applyFont="1" applyFill="1" applyBorder="1" applyAlignment="1">
      <alignment horizontal="left" vertical="top" wrapText="1"/>
    </xf>
    <xf numFmtId="49" fontId="11" fillId="4" borderId="1" xfId="0" applyNumberFormat="1" applyFont="1" applyFill="1" applyBorder="1" applyAlignment="1">
      <alignment horizontal="left" vertical="top"/>
    </xf>
    <xf numFmtId="0" fontId="11" fillId="4" borderId="1" xfId="0" applyFont="1" applyFill="1" applyBorder="1" applyAlignment="1">
      <alignment horizontal="left" vertical="top"/>
    </xf>
    <xf numFmtId="0" fontId="11" fillId="4" borderId="1" xfId="2" applyFont="1" applyFill="1" applyBorder="1" applyAlignment="1">
      <alignment vertical="top" wrapText="1"/>
    </xf>
    <xf numFmtId="2" fontId="11" fillId="4" borderId="1" xfId="1" quotePrefix="1" applyNumberFormat="1" applyFont="1" applyFill="1" applyBorder="1" applyAlignment="1">
      <alignment vertical="top"/>
    </xf>
    <xf numFmtId="0" fontId="11" fillId="4" borderId="1" xfId="0" applyFont="1" applyFill="1" applyBorder="1" applyAlignment="1">
      <alignment vertical="top"/>
    </xf>
    <xf numFmtId="0" fontId="11" fillId="4" borderId="1" xfId="0" quotePrefix="1" applyFont="1" applyFill="1" applyBorder="1" applyAlignment="1">
      <alignment horizontal="left" vertical="top"/>
    </xf>
    <xf numFmtId="0" fontId="4" fillId="4" borderId="1" xfId="0" applyFont="1" applyFill="1" applyBorder="1" applyAlignment="1">
      <alignment vertical="top" wrapText="1"/>
    </xf>
    <xf numFmtId="49" fontId="4" fillId="4" borderId="1" xfId="0" applyNumberFormat="1" applyFont="1" applyFill="1" applyBorder="1" applyAlignment="1">
      <alignment horizontal="left" vertical="top" wrapText="1"/>
    </xf>
    <xf numFmtId="49" fontId="4" fillId="4" borderId="1" xfId="0" applyNumberFormat="1" applyFont="1" applyFill="1" applyBorder="1" applyAlignment="1">
      <alignment vertical="top" wrapText="1"/>
    </xf>
    <xf numFmtId="49" fontId="4" fillId="4" borderId="3" xfId="0" applyNumberFormat="1" applyFont="1" applyFill="1" applyBorder="1" applyAlignment="1">
      <alignment horizontal="left" vertical="top" wrapText="1"/>
    </xf>
    <xf numFmtId="49" fontId="4" fillId="4" borderId="1" xfId="0" applyNumberFormat="1" applyFont="1" applyFill="1" applyBorder="1" applyAlignment="1">
      <alignment horizontal="left" vertical="top"/>
    </xf>
    <xf numFmtId="0" fontId="4"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4" fillId="4" borderId="1" xfId="2" applyFont="1" applyFill="1" applyBorder="1" applyAlignment="1">
      <alignment vertical="top" wrapText="1"/>
    </xf>
    <xf numFmtId="2" fontId="4" fillId="4" borderId="1" xfId="1" quotePrefix="1" applyNumberFormat="1" applyFont="1" applyFill="1" applyBorder="1" applyAlignment="1">
      <alignment vertical="top"/>
    </xf>
    <xf numFmtId="0" fontId="4" fillId="4" borderId="1" xfId="0" applyFont="1" applyFill="1" applyBorder="1" applyAlignment="1">
      <alignment vertical="top"/>
    </xf>
    <xf numFmtId="0" fontId="4" fillId="4" borderId="1" xfId="0" quotePrefix="1" applyFont="1" applyFill="1" applyBorder="1" applyAlignment="1">
      <alignment horizontal="left" vertical="top"/>
    </xf>
    <xf numFmtId="0" fontId="11" fillId="10" borderId="1" xfId="0" applyFont="1" applyFill="1" applyBorder="1" applyAlignment="1">
      <alignment horizontal="left" vertical="top" wrapText="1"/>
    </xf>
    <xf numFmtId="49" fontId="11" fillId="10" borderId="1" xfId="0" applyNumberFormat="1" applyFont="1" applyFill="1" applyBorder="1" applyAlignment="1">
      <alignment horizontal="left" vertical="top" wrapText="1"/>
    </xf>
    <xf numFmtId="49" fontId="11" fillId="10" borderId="1" xfId="0" applyNumberFormat="1" applyFont="1" applyFill="1" applyBorder="1" applyAlignment="1">
      <alignment vertical="top" wrapText="1"/>
    </xf>
    <xf numFmtId="49" fontId="11" fillId="10" borderId="3" xfId="0" applyNumberFormat="1" applyFont="1" applyFill="1" applyBorder="1" applyAlignment="1">
      <alignment horizontal="left" vertical="top" wrapText="1"/>
    </xf>
    <xf numFmtId="49" fontId="11" fillId="10" borderId="1" xfId="0" applyNumberFormat="1" applyFont="1" applyFill="1" applyBorder="1" applyAlignment="1">
      <alignment horizontal="left" vertical="top"/>
    </xf>
    <xf numFmtId="0" fontId="11" fillId="10" borderId="1" xfId="0" applyFont="1" applyFill="1" applyBorder="1" applyAlignment="1">
      <alignment horizontal="left" vertical="top"/>
    </xf>
    <xf numFmtId="0" fontId="11" fillId="10" borderId="1" xfId="2" applyFont="1" applyFill="1" applyBorder="1" applyAlignment="1">
      <alignment vertical="top" wrapText="1"/>
    </xf>
    <xf numFmtId="2" fontId="11" fillId="10" borderId="1" xfId="1" quotePrefix="1" applyNumberFormat="1" applyFont="1" applyFill="1" applyBorder="1" applyAlignment="1">
      <alignment vertical="top"/>
    </xf>
    <xf numFmtId="0" fontId="11" fillId="10" borderId="1" xfId="0" applyFont="1" applyFill="1" applyBorder="1" applyAlignment="1">
      <alignment vertical="top"/>
    </xf>
    <xf numFmtId="0" fontId="11" fillId="10" borderId="1" xfId="0" quotePrefix="1" applyFont="1" applyFill="1" applyBorder="1" applyAlignment="1">
      <alignment horizontal="left" vertical="top"/>
    </xf>
    <xf numFmtId="0" fontId="4" fillId="10" borderId="1" xfId="0" applyFont="1" applyFill="1" applyBorder="1" applyAlignment="1">
      <alignment vertical="top" wrapText="1"/>
    </xf>
    <xf numFmtId="49" fontId="4" fillId="10" borderId="1" xfId="0" applyNumberFormat="1" applyFont="1" applyFill="1" applyBorder="1" applyAlignment="1">
      <alignment horizontal="left" vertical="top" wrapText="1"/>
    </xf>
    <xf numFmtId="49" fontId="4" fillId="10" borderId="1" xfId="0" applyNumberFormat="1" applyFont="1" applyFill="1" applyBorder="1" applyAlignment="1">
      <alignment vertical="top" wrapText="1"/>
    </xf>
    <xf numFmtId="49" fontId="4" fillId="10" borderId="3" xfId="0" applyNumberFormat="1" applyFont="1" applyFill="1" applyBorder="1" applyAlignment="1">
      <alignment horizontal="left" vertical="top" wrapText="1"/>
    </xf>
    <xf numFmtId="49" fontId="4" fillId="10" borderId="1" xfId="0" applyNumberFormat="1" applyFont="1" applyFill="1" applyBorder="1" applyAlignment="1">
      <alignment horizontal="left" vertical="top"/>
    </xf>
    <xf numFmtId="0" fontId="4" fillId="10" borderId="1" xfId="0" applyFont="1" applyFill="1" applyBorder="1" applyAlignment="1">
      <alignment horizontal="left" vertical="top"/>
    </xf>
    <xf numFmtId="0" fontId="4" fillId="10" borderId="1" xfId="0" applyFont="1" applyFill="1" applyBorder="1" applyAlignment="1">
      <alignment horizontal="left" vertical="top" wrapText="1"/>
    </xf>
    <xf numFmtId="0" fontId="4" fillId="10" borderId="1" xfId="2" applyFont="1" applyFill="1" applyBorder="1" applyAlignment="1">
      <alignment vertical="top" wrapText="1"/>
    </xf>
    <xf numFmtId="2" fontId="4" fillId="10" borderId="1" xfId="1" quotePrefix="1" applyNumberFormat="1" applyFont="1" applyFill="1" applyBorder="1" applyAlignment="1">
      <alignment vertical="top"/>
    </xf>
    <xf numFmtId="0" fontId="4" fillId="10" borderId="1" xfId="0" applyFont="1" applyFill="1" applyBorder="1" applyAlignment="1">
      <alignment vertical="top"/>
    </xf>
    <xf numFmtId="0" fontId="4" fillId="10" borderId="1" xfId="0" quotePrefix="1" applyFont="1" applyFill="1" applyBorder="1" applyAlignment="1">
      <alignment horizontal="left" vertical="top"/>
    </xf>
    <xf numFmtId="0" fontId="11" fillId="3" borderId="1" xfId="0" applyFont="1" applyFill="1" applyBorder="1" applyAlignment="1">
      <alignment horizontal="left" vertical="top" wrapText="1"/>
    </xf>
    <xf numFmtId="49" fontId="11" fillId="3" borderId="1" xfId="0" applyNumberFormat="1" applyFont="1" applyFill="1" applyBorder="1" applyAlignment="1">
      <alignment horizontal="left" vertical="top" wrapText="1"/>
    </xf>
    <xf numFmtId="49" fontId="11" fillId="3" borderId="1" xfId="0" applyNumberFormat="1" applyFont="1" applyFill="1" applyBorder="1" applyAlignment="1">
      <alignment vertical="top" wrapText="1"/>
    </xf>
    <xf numFmtId="49" fontId="11" fillId="3" borderId="3" xfId="0" applyNumberFormat="1" applyFont="1" applyFill="1" applyBorder="1" applyAlignment="1">
      <alignment horizontal="left" vertical="top" wrapText="1"/>
    </xf>
    <xf numFmtId="49" fontId="11" fillId="3" borderId="1" xfId="0" applyNumberFormat="1" applyFont="1" applyFill="1" applyBorder="1" applyAlignment="1">
      <alignment horizontal="left" vertical="top"/>
    </xf>
    <xf numFmtId="0" fontId="11" fillId="3" borderId="1" xfId="0" applyFont="1" applyFill="1" applyBorder="1" applyAlignment="1">
      <alignment horizontal="left" vertical="top"/>
    </xf>
    <xf numFmtId="0" fontId="11" fillId="3" borderId="1" xfId="2" applyFont="1" applyFill="1" applyBorder="1" applyAlignment="1">
      <alignment vertical="top" wrapText="1"/>
    </xf>
    <xf numFmtId="2" fontId="11" fillId="3" borderId="1" xfId="1" quotePrefix="1" applyNumberFormat="1" applyFont="1" applyFill="1" applyBorder="1" applyAlignment="1">
      <alignment vertical="top"/>
    </xf>
    <xf numFmtId="0" fontId="11" fillId="3" borderId="1" xfId="0" applyFont="1" applyFill="1" applyBorder="1" applyAlignment="1">
      <alignment vertical="top"/>
    </xf>
    <xf numFmtId="0" fontId="11" fillId="3" borderId="1" xfId="0" quotePrefix="1" applyFont="1" applyFill="1" applyBorder="1" applyAlignment="1">
      <alignment horizontal="left" vertical="top"/>
    </xf>
    <xf numFmtId="0" fontId="4" fillId="3" borderId="1" xfId="0" applyFont="1" applyFill="1" applyBorder="1" applyAlignment="1">
      <alignment vertical="top" wrapText="1"/>
    </xf>
    <xf numFmtId="49" fontId="4" fillId="3" borderId="1" xfId="0" applyNumberFormat="1" applyFont="1" applyFill="1" applyBorder="1" applyAlignment="1">
      <alignment horizontal="left" vertical="top" wrapText="1"/>
    </xf>
    <xf numFmtId="49" fontId="4" fillId="3" borderId="1" xfId="0" applyNumberFormat="1" applyFont="1" applyFill="1" applyBorder="1" applyAlignment="1">
      <alignment vertical="top" wrapText="1"/>
    </xf>
    <xf numFmtId="49" fontId="4" fillId="3" borderId="3"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xf>
    <xf numFmtId="0" fontId="4"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4" fillId="3" borderId="1" xfId="2" applyFont="1" applyFill="1" applyBorder="1" applyAlignment="1">
      <alignment vertical="top" wrapText="1"/>
    </xf>
    <xf numFmtId="2" fontId="4" fillId="3" borderId="1" xfId="1" quotePrefix="1" applyNumberFormat="1" applyFont="1" applyFill="1" applyBorder="1" applyAlignment="1">
      <alignment vertical="top"/>
    </xf>
    <xf numFmtId="0" fontId="4" fillId="3" borderId="1" xfId="0" applyFont="1" applyFill="1" applyBorder="1" applyAlignment="1">
      <alignment vertical="top"/>
    </xf>
    <xf numFmtId="0" fontId="4" fillId="3" borderId="1" xfId="0" quotePrefix="1" applyFont="1" applyFill="1" applyBorder="1" applyAlignment="1">
      <alignment horizontal="left" vertical="top"/>
    </xf>
    <xf numFmtId="0" fontId="4" fillId="8" borderId="1" xfId="0" applyFont="1" applyFill="1" applyBorder="1" applyAlignment="1">
      <alignment vertical="top" wrapText="1"/>
    </xf>
    <xf numFmtId="49" fontId="4" fillId="8" borderId="1" xfId="0" applyNumberFormat="1" applyFont="1" applyFill="1" applyBorder="1" applyAlignment="1">
      <alignment horizontal="left" vertical="top" wrapText="1"/>
    </xf>
    <xf numFmtId="49" fontId="4" fillId="8" borderId="1" xfId="0" applyNumberFormat="1" applyFont="1" applyFill="1" applyBorder="1" applyAlignment="1">
      <alignment vertical="top" wrapText="1"/>
    </xf>
    <xf numFmtId="49" fontId="4" fillId="8" borderId="3" xfId="0" applyNumberFormat="1" applyFont="1" applyFill="1" applyBorder="1" applyAlignment="1">
      <alignment horizontal="left" vertical="top" wrapText="1"/>
    </xf>
    <xf numFmtId="49" fontId="4" fillId="8" borderId="1" xfId="0" applyNumberFormat="1" applyFont="1" applyFill="1" applyBorder="1" applyAlignment="1">
      <alignment horizontal="left" vertical="top"/>
    </xf>
    <xf numFmtId="0" fontId="4" fillId="8" borderId="1" xfId="0" applyFont="1" applyFill="1" applyBorder="1" applyAlignment="1">
      <alignment horizontal="left" vertical="top"/>
    </xf>
    <xf numFmtId="0" fontId="4" fillId="8" borderId="1" xfId="0" applyFont="1" applyFill="1" applyBorder="1" applyAlignment="1">
      <alignment horizontal="left" vertical="top" wrapText="1"/>
    </xf>
    <xf numFmtId="0" fontId="4" fillId="8" borderId="1" xfId="2" applyFont="1" applyFill="1" applyBorder="1" applyAlignment="1">
      <alignment vertical="top" wrapText="1"/>
    </xf>
    <xf numFmtId="2" fontId="4" fillId="8" borderId="1" xfId="1" quotePrefix="1" applyNumberFormat="1" applyFont="1" applyFill="1" applyBorder="1" applyAlignment="1">
      <alignment vertical="top"/>
    </xf>
    <xf numFmtId="0" fontId="4" fillId="8" borderId="1" xfId="0" applyFont="1" applyFill="1" applyBorder="1" applyAlignment="1">
      <alignment vertical="top"/>
    </xf>
    <xf numFmtId="0" fontId="4" fillId="8" borderId="1" xfId="0" quotePrefix="1" applyFont="1" applyFill="1" applyBorder="1" applyAlignment="1">
      <alignment horizontal="left" vertical="top"/>
    </xf>
    <xf numFmtId="0" fontId="11" fillId="11" borderId="1" xfId="0" applyFont="1" applyFill="1" applyBorder="1" applyAlignment="1">
      <alignment vertical="top" wrapText="1"/>
    </xf>
    <xf numFmtId="0" fontId="11" fillId="11" borderId="1" xfId="0" applyFont="1" applyFill="1" applyBorder="1" applyAlignment="1">
      <alignment horizontal="left" vertical="top" wrapText="1"/>
    </xf>
    <xf numFmtId="49" fontId="11" fillId="11" borderId="1" xfId="0" applyNumberFormat="1" applyFont="1" applyFill="1" applyBorder="1" applyAlignment="1">
      <alignment horizontal="left" vertical="top" wrapText="1"/>
    </xf>
    <xf numFmtId="49" fontId="11" fillId="11" borderId="1" xfId="0" applyNumberFormat="1" applyFont="1" applyFill="1" applyBorder="1" applyAlignment="1">
      <alignment vertical="top" wrapText="1"/>
    </xf>
    <xf numFmtId="49" fontId="11" fillId="11" borderId="3" xfId="0" applyNumberFormat="1" applyFont="1" applyFill="1" applyBorder="1" applyAlignment="1">
      <alignment horizontal="left" vertical="top" wrapText="1"/>
    </xf>
    <xf numFmtId="49" fontId="11" fillId="11" borderId="1" xfId="0" applyNumberFormat="1" applyFont="1" applyFill="1" applyBorder="1" applyAlignment="1">
      <alignment horizontal="left" vertical="top"/>
    </xf>
    <xf numFmtId="0" fontId="11" fillId="11" borderId="1" xfId="0" applyFont="1" applyFill="1" applyBorder="1" applyAlignment="1">
      <alignment horizontal="left" vertical="top"/>
    </xf>
    <xf numFmtId="0" fontId="11" fillId="11" borderId="1" xfId="2" applyFont="1" applyFill="1" applyBorder="1" applyAlignment="1">
      <alignment vertical="top" wrapText="1"/>
    </xf>
    <xf numFmtId="2" fontId="11" fillId="11" borderId="1" xfId="1" quotePrefix="1" applyNumberFormat="1" applyFont="1" applyFill="1" applyBorder="1" applyAlignment="1">
      <alignment vertical="top"/>
    </xf>
    <xf numFmtId="0" fontId="11" fillId="11" borderId="1" xfId="0" applyFont="1" applyFill="1" applyBorder="1" applyAlignment="1">
      <alignment vertical="top"/>
    </xf>
    <xf numFmtId="0" fontId="11" fillId="11" borderId="1" xfId="0" applyFont="1" applyFill="1" applyBorder="1" applyAlignment="1">
      <alignment horizontal="left"/>
    </xf>
    <xf numFmtId="0" fontId="11" fillId="11" borderId="1" xfId="0" quotePrefix="1" applyFont="1" applyFill="1" applyBorder="1" applyAlignment="1">
      <alignment horizontal="left" vertical="top"/>
    </xf>
    <xf numFmtId="0" fontId="4" fillId="11" borderId="1" xfId="0" applyFont="1" applyFill="1" applyBorder="1" applyAlignment="1">
      <alignment vertical="top" wrapText="1"/>
    </xf>
    <xf numFmtId="49" fontId="4" fillId="11" borderId="1" xfId="0" applyNumberFormat="1" applyFont="1" applyFill="1" applyBorder="1" applyAlignment="1">
      <alignment horizontal="left" vertical="top" wrapText="1"/>
    </xf>
    <xf numFmtId="49" fontId="4" fillId="11" borderId="1" xfId="0" applyNumberFormat="1" applyFont="1" applyFill="1" applyBorder="1" applyAlignment="1">
      <alignment vertical="top" wrapText="1"/>
    </xf>
    <xf numFmtId="49" fontId="4" fillId="11" borderId="3" xfId="0" applyNumberFormat="1" applyFont="1" applyFill="1" applyBorder="1" applyAlignment="1">
      <alignment horizontal="left" vertical="top" wrapText="1"/>
    </xf>
    <xf numFmtId="49" fontId="4" fillId="11" borderId="1" xfId="0" applyNumberFormat="1" applyFont="1" applyFill="1" applyBorder="1" applyAlignment="1">
      <alignment horizontal="left" vertical="top"/>
    </xf>
    <xf numFmtId="0" fontId="4" fillId="11" borderId="1" xfId="0" applyFont="1" applyFill="1" applyBorder="1" applyAlignment="1">
      <alignment horizontal="left" vertical="top"/>
    </xf>
    <xf numFmtId="0" fontId="4" fillId="11" borderId="1" xfId="0" applyFont="1" applyFill="1" applyBorder="1" applyAlignment="1">
      <alignment horizontal="left" vertical="top" wrapText="1"/>
    </xf>
    <xf numFmtId="0" fontId="4" fillId="11" borderId="1" xfId="2" applyFont="1" applyFill="1" applyBorder="1" applyAlignment="1">
      <alignment vertical="top" wrapText="1"/>
    </xf>
    <xf numFmtId="2" fontId="4" fillId="11" borderId="1" xfId="1" quotePrefix="1" applyNumberFormat="1" applyFont="1" applyFill="1" applyBorder="1" applyAlignment="1">
      <alignment vertical="top"/>
    </xf>
    <xf numFmtId="0" fontId="4" fillId="11" borderId="1" xfId="0" applyFont="1" applyFill="1" applyBorder="1" applyAlignment="1">
      <alignment vertical="top"/>
    </xf>
    <xf numFmtId="0" fontId="4" fillId="11" borderId="1" xfId="0" quotePrefix="1" applyFont="1" applyFill="1" applyBorder="1" applyAlignment="1">
      <alignment horizontal="left" vertical="top"/>
    </xf>
    <xf numFmtId="0" fontId="11" fillId="8" borderId="1" xfId="0" applyFont="1" applyFill="1" applyBorder="1" applyAlignment="1">
      <alignment horizontal="left" vertical="top" wrapText="1"/>
    </xf>
    <xf numFmtId="49" fontId="11" fillId="8" borderId="1" xfId="0" applyNumberFormat="1" applyFont="1" applyFill="1" applyBorder="1" applyAlignment="1">
      <alignment horizontal="left" vertical="top" wrapText="1"/>
    </xf>
    <xf numFmtId="49" fontId="11" fillId="8" borderId="3" xfId="0" applyNumberFormat="1" applyFont="1" applyFill="1" applyBorder="1" applyAlignment="1">
      <alignment horizontal="left" vertical="top" wrapText="1"/>
    </xf>
    <xf numFmtId="49" fontId="11" fillId="8" borderId="1" xfId="0" applyNumberFormat="1" applyFont="1" applyFill="1" applyBorder="1" applyAlignment="1">
      <alignment horizontal="left" vertical="top"/>
    </xf>
    <xf numFmtId="0" fontId="11" fillId="8" borderId="1" xfId="0" applyFont="1" applyFill="1" applyBorder="1" applyAlignment="1">
      <alignment horizontal="left" vertical="top"/>
    </xf>
    <xf numFmtId="0" fontId="11" fillId="8" borderId="1" xfId="2" applyFont="1" applyFill="1" applyBorder="1" applyAlignment="1">
      <alignment vertical="top" wrapText="1"/>
    </xf>
    <xf numFmtId="2" fontId="11" fillId="8" borderId="1" xfId="1" quotePrefix="1" applyNumberFormat="1" applyFont="1" applyFill="1" applyBorder="1" applyAlignment="1">
      <alignment vertical="top"/>
    </xf>
    <xf numFmtId="0" fontId="11" fillId="8" borderId="1" xfId="0" applyFont="1" applyFill="1" applyBorder="1" applyAlignment="1">
      <alignment vertical="top"/>
    </xf>
    <xf numFmtId="0" fontId="11" fillId="8" borderId="1" xfId="0" quotePrefix="1" applyFont="1" applyFill="1" applyBorder="1" applyAlignment="1">
      <alignment horizontal="left" vertical="top"/>
    </xf>
    <xf numFmtId="172" fontId="15" fillId="0" borderId="15" xfId="0" applyNumberFormat="1" applyFont="1" applyBorder="1" applyAlignment="1">
      <alignment horizontal="left"/>
    </xf>
    <xf numFmtId="172" fontId="15" fillId="0" borderId="0" xfId="0" applyNumberFormat="1" applyFont="1" applyAlignment="1">
      <alignment horizontal="left"/>
    </xf>
    <xf numFmtId="1" fontId="15" fillId="0" borderId="0" xfId="0" applyNumberFormat="1" applyFont="1" applyAlignment="1">
      <alignment horizontal="left"/>
    </xf>
    <xf numFmtId="173" fontId="15" fillId="0" borderId="0" xfId="0" applyNumberFormat="1" applyFont="1" applyAlignment="1">
      <alignment horizontal="left"/>
    </xf>
    <xf numFmtId="0" fontId="15" fillId="0" borderId="16" xfId="0" applyFont="1" applyBorder="1" applyAlignment="1">
      <alignment horizontal="left"/>
    </xf>
    <xf numFmtId="172" fontId="13" fillId="0" borderId="15" xfId="0" applyNumberFormat="1" applyFont="1" applyBorder="1" applyAlignment="1">
      <alignment horizontal="left"/>
    </xf>
    <xf numFmtId="0" fontId="13" fillId="0" borderId="16" xfId="0" applyFont="1" applyBorder="1" applyAlignment="1">
      <alignment horizontal="left"/>
    </xf>
    <xf numFmtId="172" fontId="13" fillId="0" borderId="17" xfId="0" applyNumberFormat="1" applyFont="1" applyBorder="1" applyAlignment="1">
      <alignment horizontal="left"/>
    </xf>
    <xf numFmtId="172" fontId="13" fillId="0" borderId="18" xfId="0" applyNumberFormat="1" applyFont="1" applyBorder="1" applyAlignment="1">
      <alignment horizontal="left"/>
    </xf>
    <xf numFmtId="1" fontId="13" fillId="0" borderId="18" xfId="0" applyNumberFormat="1" applyFont="1" applyBorder="1" applyAlignment="1">
      <alignment horizontal="left"/>
    </xf>
    <xf numFmtId="173" fontId="13" fillId="0" borderId="18" xfId="0" applyNumberFormat="1" applyFont="1" applyBorder="1" applyAlignment="1">
      <alignment horizontal="left"/>
    </xf>
    <xf numFmtId="0" fontId="13" fillId="0" borderId="18" xfId="0" applyFont="1" applyBorder="1" applyAlignment="1">
      <alignment horizontal="left"/>
    </xf>
    <xf numFmtId="0" fontId="13" fillId="0" borderId="19" xfId="0" applyFont="1" applyBorder="1" applyAlignment="1">
      <alignment horizontal="left"/>
    </xf>
    <xf numFmtId="0" fontId="15" fillId="0" borderId="15" xfId="0" applyFont="1" applyBorder="1" applyAlignment="1">
      <alignment horizontal="left"/>
    </xf>
    <xf numFmtId="0" fontId="13" fillId="0" borderId="15" xfId="0" applyFont="1" applyBorder="1" applyAlignment="1">
      <alignment horizontal="left"/>
    </xf>
    <xf numFmtId="0" fontId="13" fillId="0" borderId="17" xfId="0" applyFont="1" applyBorder="1" applyAlignment="1">
      <alignment horizontal="left"/>
    </xf>
    <xf numFmtId="0" fontId="12" fillId="0" borderId="23" xfId="0" applyFont="1" applyBorder="1" applyAlignment="1">
      <alignment horizontal="left"/>
    </xf>
    <xf numFmtId="0" fontId="14" fillId="4" borderId="23" xfId="0" applyFont="1" applyFill="1" applyBorder="1" applyAlignment="1">
      <alignment horizontal="left" vertical="top"/>
    </xf>
    <xf numFmtId="0" fontId="14" fillId="10" borderId="23" xfId="0" applyFont="1" applyFill="1" applyBorder="1" applyAlignment="1">
      <alignment horizontal="left" vertical="top"/>
    </xf>
    <xf numFmtId="0" fontId="14" fillId="3" borderId="23" xfId="0" applyFont="1" applyFill="1" applyBorder="1" applyAlignment="1">
      <alignment horizontal="left" vertical="top"/>
    </xf>
    <xf numFmtId="0" fontId="14" fillId="6" borderId="23" xfId="0" applyFont="1" applyFill="1" applyBorder="1" applyAlignment="1">
      <alignment horizontal="left" vertical="top"/>
    </xf>
    <xf numFmtId="0" fontId="14" fillId="11" borderId="23" xfId="0" applyFont="1" applyFill="1" applyBorder="1" applyAlignment="1">
      <alignment horizontal="left" vertical="top"/>
    </xf>
    <xf numFmtId="0" fontId="0" fillId="0" borderId="24" xfId="0" applyBorder="1" applyAlignment="1">
      <alignment horizontal="left"/>
    </xf>
    <xf numFmtId="0" fontId="0" fillId="0" borderId="23" xfId="0" applyBorder="1" applyAlignment="1">
      <alignment horizontal="left"/>
    </xf>
    <xf numFmtId="0" fontId="16" fillId="0" borderId="14" xfId="0" applyFont="1" applyBorder="1"/>
    <xf numFmtId="0" fontId="16" fillId="0" borderId="20" xfId="0" applyFont="1" applyBorder="1" applyAlignment="1">
      <alignment vertical="center"/>
    </xf>
    <xf numFmtId="0" fontId="16" fillId="0" borderId="21" xfId="0" applyFont="1" applyBorder="1" applyAlignment="1">
      <alignment vertical="center"/>
    </xf>
    <xf numFmtId="0" fontId="16" fillId="0" borderId="14" xfId="0" applyFont="1" applyBorder="1" applyAlignment="1">
      <alignment vertical="center"/>
    </xf>
    <xf numFmtId="166" fontId="14" fillId="2" borderId="0" xfId="0" applyNumberFormat="1" applyFont="1" applyFill="1"/>
    <xf numFmtId="0" fontId="19" fillId="0" borderId="1" xfId="0" applyFont="1" applyBorder="1"/>
    <xf numFmtId="0" fontId="20" fillId="0" borderId="0" xfId="0" applyFont="1"/>
    <xf numFmtId="170" fontId="19" fillId="0" borderId="3" xfId="1" applyFont="1" applyFill="1" applyBorder="1"/>
    <xf numFmtId="0" fontId="20" fillId="0" borderId="1" xfId="0" applyFont="1" applyBorder="1"/>
    <xf numFmtId="170" fontId="20" fillId="0" borderId="0" xfId="1" applyFont="1" applyFill="1"/>
    <xf numFmtId="0" fontId="22" fillId="0" borderId="0" xfId="2" applyFont="1" applyAlignment="1">
      <alignment vertical="top" wrapText="1"/>
    </xf>
    <xf numFmtId="0" fontId="20" fillId="0" borderId="0" xfId="0" applyFont="1" applyAlignment="1">
      <alignment horizontal="left"/>
    </xf>
    <xf numFmtId="0" fontId="21" fillId="0" borderId="1" xfId="2" applyFont="1" applyBorder="1" applyAlignment="1">
      <alignment vertical="top" wrapText="1"/>
    </xf>
    <xf numFmtId="0" fontId="24" fillId="0" borderId="0" xfId="2" applyFont="1" applyAlignment="1">
      <alignment vertical="top" wrapText="1"/>
    </xf>
    <xf numFmtId="0" fontId="20" fillId="0" borderId="0" xfId="0" applyFont="1" applyAlignment="1">
      <alignment horizontal="center"/>
    </xf>
    <xf numFmtId="0" fontId="22" fillId="0" borderId="0" xfId="0" applyFont="1"/>
    <xf numFmtId="0" fontId="20" fillId="15" borderId="1" xfId="0" applyFont="1" applyFill="1" applyBorder="1" applyAlignment="1">
      <alignment horizontal="left"/>
    </xf>
    <xf numFmtId="0" fontId="20" fillId="15" borderId="1" xfId="0" applyFont="1" applyFill="1" applyBorder="1"/>
    <xf numFmtId="0" fontId="22" fillId="15" borderId="1" xfId="2" applyFont="1" applyFill="1" applyBorder="1" applyAlignment="1">
      <alignment vertical="top" wrapText="1"/>
    </xf>
    <xf numFmtId="0" fontId="21" fillId="15" borderId="1" xfId="2" applyFont="1" applyFill="1" applyBorder="1" applyAlignment="1">
      <alignment vertical="top" wrapText="1"/>
    </xf>
    <xf numFmtId="14" fontId="20" fillId="15" borderId="1" xfId="0" applyNumberFormat="1" applyFont="1" applyFill="1" applyBorder="1"/>
    <xf numFmtId="0" fontId="22" fillId="15" borderId="12" xfId="0" applyFont="1" applyFill="1" applyBorder="1"/>
    <xf numFmtId="0" fontId="22" fillId="0" borderId="1" xfId="0" applyFont="1" applyBorder="1"/>
    <xf numFmtId="0" fontId="22" fillId="15" borderId="1" xfId="0" applyFont="1" applyFill="1" applyBorder="1"/>
    <xf numFmtId="14" fontId="20" fillId="15" borderId="1" xfId="0" applyNumberFormat="1" applyFont="1" applyFill="1" applyBorder="1" applyAlignment="1">
      <alignment horizontal="left"/>
    </xf>
    <xf numFmtId="0" fontId="24" fillId="15" borderId="1" xfId="2" applyFont="1" applyFill="1" applyBorder="1" applyAlignment="1">
      <alignment vertical="top" wrapText="1"/>
    </xf>
    <xf numFmtId="0" fontId="23" fillId="0" borderId="0" xfId="0" applyFont="1"/>
    <xf numFmtId="0" fontId="26" fillId="0" borderId="0" xfId="0" applyFont="1"/>
    <xf numFmtId="13" fontId="25" fillId="16" borderId="1" xfId="0" quotePrefix="1" applyNumberFormat="1" applyFont="1" applyFill="1" applyBorder="1" applyAlignment="1">
      <alignment horizontal="center" vertical="center" wrapText="1"/>
    </xf>
    <xf numFmtId="13" fontId="25" fillId="2" borderId="1" xfId="0" quotePrefix="1" applyNumberFormat="1" applyFont="1" applyFill="1" applyBorder="1" applyAlignment="1">
      <alignment horizontal="center" vertical="center"/>
    </xf>
    <xf numFmtId="0" fontId="7" fillId="0" borderId="1" xfId="0" applyFont="1" applyBorder="1" applyAlignment="1">
      <alignment horizontal="left" indent="1"/>
    </xf>
    <xf numFmtId="0" fontId="26" fillId="0" borderId="1" xfId="0" applyFont="1" applyBorder="1"/>
    <xf numFmtId="164" fontId="7" fillId="16" borderId="1" xfId="1" applyNumberFormat="1" applyFont="1" applyFill="1" applyBorder="1"/>
    <xf numFmtId="164" fontId="7" fillId="2" borderId="1" xfId="1" applyNumberFormat="1" applyFont="1" applyFill="1" applyBorder="1"/>
    <xf numFmtId="164" fontId="26" fillId="0" borderId="1" xfId="1" applyNumberFormat="1" applyFont="1" applyBorder="1"/>
    <xf numFmtId="13" fontId="25" fillId="2" borderId="1" xfId="0" quotePrefix="1" applyNumberFormat="1" applyFont="1" applyFill="1" applyBorder="1" applyAlignment="1">
      <alignment horizontal="center" vertical="center" wrapText="1"/>
    </xf>
    <xf numFmtId="164" fontId="26" fillId="2" borderId="1" xfId="1" applyNumberFormat="1" applyFont="1" applyFill="1" applyBorder="1"/>
    <xf numFmtId="0" fontId="25" fillId="0" borderId="12" xfId="0" applyFont="1" applyBorder="1" applyAlignment="1">
      <alignment horizontal="center" vertical="center"/>
    </xf>
    <xf numFmtId="164" fontId="27" fillId="0" borderId="25" xfId="0" applyNumberFormat="1" applyFont="1" applyBorder="1"/>
    <xf numFmtId="0" fontId="27" fillId="0" borderId="0" xfId="0" applyFont="1"/>
    <xf numFmtId="164" fontId="25" fillId="16" borderId="26" xfId="1" applyNumberFormat="1" applyFont="1" applyFill="1" applyBorder="1"/>
    <xf numFmtId="164" fontId="27" fillId="0" borderId="27" xfId="0" applyNumberFormat="1" applyFont="1" applyBorder="1"/>
    <xf numFmtId="164" fontId="27" fillId="0" borderId="28" xfId="0" applyNumberFormat="1" applyFont="1" applyBorder="1"/>
    <xf numFmtId="0" fontId="21" fillId="6" borderId="0" xfId="2" applyFont="1" applyFill="1" applyAlignment="1">
      <alignment vertical="top" wrapText="1"/>
    </xf>
    <xf numFmtId="0" fontId="20" fillId="4" borderId="0" xfId="0" applyFont="1" applyFill="1" applyAlignment="1">
      <alignment wrapText="1"/>
    </xf>
    <xf numFmtId="0" fontId="23" fillId="0" borderId="0" xfId="2" applyFont="1" applyAlignment="1">
      <alignment vertical="top" wrapText="1"/>
    </xf>
    <xf numFmtId="0" fontId="23" fillId="0" borderId="1" xfId="2" applyFont="1" applyBorder="1" applyAlignment="1">
      <alignment vertical="top" wrapText="1"/>
    </xf>
    <xf numFmtId="0" fontId="22" fillId="4" borderId="0" xfId="0" applyFont="1" applyFill="1" applyAlignment="1">
      <alignment wrapText="1"/>
    </xf>
    <xf numFmtId="0" fontId="28" fillId="4" borderId="23" xfId="0" applyFont="1" applyFill="1" applyBorder="1" applyAlignment="1">
      <alignment horizontal="left" vertical="top"/>
    </xf>
    <xf numFmtId="0" fontId="28" fillId="10" borderId="23" xfId="0" applyFont="1" applyFill="1" applyBorder="1" applyAlignment="1">
      <alignment horizontal="left" vertical="top"/>
    </xf>
    <xf numFmtId="0" fontId="28" fillId="3" borderId="23" xfId="0" applyFont="1" applyFill="1" applyBorder="1" applyAlignment="1">
      <alignment horizontal="left" vertical="top"/>
    </xf>
    <xf numFmtId="0" fontId="28" fillId="6" borderId="23" xfId="0" applyFont="1" applyFill="1" applyBorder="1" applyAlignment="1">
      <alignment horizontal="left" vertical="top"/>
    </xf>
    <xf numFmtId="2" fontId="0" fillId="0" borderId="0" xfId="0" applyNumberFormat="1"/>
    <xf numFmtId="2" fontId="32" fillId="0" borderId="0" xfId="0" applyNumberFormat="1" applyFont="1" applyAlignment="1">
      <alignment vertical="center"/>
    </xf>
    <xf numFmtId="2" fontId="12" fillId="0" borderId="0" xfId="0" applyNumberFormat="1" applyFont="1"/>
    <xf numFmtId="0" fontId="14" fillId="0" borderId="0" xfId="0" applyFont="1"/>
    <xf numFmtId="174" fontId="14" fillId="0" borderId="0" xfId="0" applyNumberFormat="1" applyFont="1"/>
    <xf numFmtId="0" fontId="28" fillId="0" borderId="0" xfId="0" applyFont="1" applyAlignment="1">
      <alignment horizontal="center"/>
    </xf>
    <xf numFmtId="0" fontId="14" fillId="12" borderId="0" xfId="27" applyFont="1"/>
    <xf numFmtId="174" fontId="14" fillId="12" borderId="0" xfId="27" applyNumberFormat="1" applyFont="1"/>
    <xf numFmtId="17" fontId="14" fillId="12" borderId="0" xfId="27" applyNumberFormat="1" applyFont="1"/>
    <xf numFmtId="166" fontId="14" fillId="12" borderId="0" xfId="27" applyNumberFormat="1" applyFont="1"/>
    <xf numFmtId="166" fontId="14" fillId="14" borderId="0" xfId="0" applyNumberFormat="1" applyFont="1" applyFill="1"/>
    <xf numFmtId="0" fontId="14" fillId="13" borderId="0" xfId="28" applyFont="1"/>
    <xf numFmtId="174" fontId="14" fillId="13" borderId="0" xfId="28" applyNumberFormat="1" applyFont="1"/>
    <xf numFmtId="166" fontId="14" fillId="13" borderId="0" xfId="28" applyNumberFormat="1" applyFont="1"/>
    <xf numFmtId="166" fontId="14" fillId="0" borderId="0" xfId="0" applyNumberFormat="1" applyFont="1"/>
    <xf numFmtId="0" fontId="28" fillId="0" borderId="0" xfId="0" applyFont="1"/>
    <xf numFmtId="166" fontId="28" fillId="0" borderId="0" xfId="0" applyNumberFormat="1" applyFont="1"/>
    <xf numFmtId="175" fontId="14" fillId="0" borderId="0" xfId="0" applyNumberFormat="1" applyFont="1"/>
    <xf numFmtId="166" fontId="14" fillId="20" borderId="0" xfId="0" applyNumberFormat="1" applyFont="1" applyFill="1"/>
    <xf numFmtId="0" fontId="14" fillId="20" borderId="0" xfId="27" applyFont="1" applyFill="1"/>
    <xf numFmtId="175" fontId="14" fillId="20" borderId="0" xfId="0" applyNumberFormat="1" applyFont="1" applyFill="1"/>
    <xf numFmtId="166" fontId="14" fillId="21" borderId="0" xfId="0" applyNumberFormat="1" applyFont="1" applyFill="1"/>
    <xf numFmtId="175" fontId="14" fillId="21" borderId="0" xfId="0" applyNumberFormat="1" applyFont="1" applyFill="1"/>
    <xf numFmtId="174" fontId="31" fillId="0" borderId="0" xfId="37" applyNumberFormat="1" applyFont="1" applyAlignment="1">
      <alignment vertical="center"/>
    </xf>
    <xf numFmtId="166" fontId="37" fillId="0" borderId="0" xfId="0" applyNumberFormat="1" applyFont="1"/>
    <xf numFmtId="170" fontId="0" fillId="0" borderId="0" xfId="1" applyFont="1"/>
    <xf numFmtId="0" fontId="12" fillId="0" borderId="0" xfId="0" applyFont="1" applyAlignment="1">
      <alignment horizontal="center"/>
    </xf>
    <xf numFmtId="176" fontId="38" fillId="0" borderId="0" xfId="0" applyNumberFormat="1" applyFont="1"/>
    <xf numFmtId="0" fontId="39" fillId="0" borderId="0" xfId="0" applyFont="1" applyAlignment="1">
      <alignment horizontal="center"/>
    </xf>
    <xf numFmtId="0" fontId="0" fillId="0" borderId="0" xfId="0" applyAlignment="1">
      <alignment horizontal="center"/>
    </xf>
    <xf numFmtId="0" fontId="33" fillId="0" borderId="0" xfId="0" applyFont="1"/>
    <xf numFmtId="170" fontId="33" fillId="0" borderId="0" xfId="1" applyFont="1"/>
    <xf numFmtId="49" fontId="0" fillId="0" borderId="0" xfId="0" applyNumberFormat="1"/>
    <xf numFmtId="49" fontId="12" fillId="0" borderId="0" xfId="0" applyNumberFormat="1" applyFont="1" applyAlignment="1">
      <alignment horizontal="center"/>
    </xf>
    <xf numFmtId="176" fontId="38" fillId="0" borderId="0" xfId="1" applyNumberFormat="1" applyFont="1" applyAlignment="1"/>
    <xf numFmtId="49" fontId="37" fillId="0" borderId="0" xfId="0" applyNumberFormat="1" applyFont="1" applyAlignment="1">
      <alignment horizontal="center"/>
    </xf>
    <xf numFmtId="49" fontId="28" fillId="0" borderId="0" xfId="0" applyNumberFormat="1" applyFont="1" applyAlignment="1">
      <alignment horizontal="center"/>
    </xf>
    <xf numFmtId="49" fontId="39" fillId="0" borderId="0" xfId="0" applyNumberFormat="1" applyFont="1" applyAlignment="1">
      <alignment horizontal="center"/>
    </xf>
    <xf numFmtId="49" fontId="0" fillId="0" borderId="0" xfId="0" applyNumberFormat="1" applyAlignment="1">
      <alignment horizontal="center"/>
    </xf>
    <xf numFmtId="49" fontId="14" fillId="0" borderId="0" xfId="0" applyNumberFormat="1" applyFont="1"/>
    <xf numFmtId="170" fontId="14" fillId="0" borderId="0" xfId="1" applyFont="1"/>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49" fontId="4" fillId="0" borderId="1" xfId="0" applyNumberFormat="1" applyFont="1" applyBorder="1" applyAlignment="1">
      <alignment horizontal="left" vertical="top"/>
    </xf>
    <xf numFmtId="0" fontId="4" fillId="0" borderId="1" xfId="0" applyFont="1" applyBorder="1" applyAlignment="1">
      <alignment horizontal="left" vertical="top"/>
    </xf>
    <xf numFmtId="0" fontId="4" fillId="0" borderId="1" xfId="2" applyFont="1" applyBorder="1" applyAlignment="1">
      <alignment vertical="top" wrapText="1"/>
    </xf>
    <xf numFmtId="2" fontId="4" fillId="0" borderId="1" xfId="1" quotePrefix="1" applyNumberFormat="1" applyFont="1" applyFill="1" applyBorder="1" applyAlignment="1">
      <alignment vertical="top"/>
    </xf>
    <xf numFmtId="0" fontId="4" fillId="0" borderId="1" xfId="0" applyFont="1" applyBorder="1" applyAlignment="1">
      <alignment vertical="top"/>
    </xf>
    <xf numFmtId="0" fontId="4" fillId="0" borderId="3" xfId="0" applyFont="1" applyBorder="1" applyAlignment="1">
      <alignment horizontal="left" vertical="top"/>
    </xf>
    <xf numFmtId="0" fontId="4" fillId="0" borderId="1" xfId="0" applyFont="1" applyBorder="1" applyAlignment="1">
      <alignment vertical="top" wrapText="1"/>
    </xf>
    <xf numFmtId="49" fontId="4" fillId="0" borderId="1" xfId="0" applyNumberFormat="1" applyFont="1" applyBorder="1" applyAlignment="1">
      <alignment vertical="top" wrapText="1"/>
    </xf>
    <xf numFmtId="11" fontId="4" fillId="0" borderId="1" xfId="0" applyNumberFormat="1" applyFont="1" applyBorder="1" applyAlignment="1">
      <alignment horizontal="left" vertical="top" wrapText="1"/>
    </xf>
    <xf numFmtId="0" fontId="4" fillId="0" borderId="1" xfId="0" applyFont="1" applyBorder="1" applyAlignment="1">
      <alignment horizontal="left"/>
    </xf>
    <xf numFmtId="0" fontId="5" fillId="22" borderId="0" xfId="0" applyFont="1" applyFill="1" applyAlignment="1">
      <alignment horizontal="center" vertical="center" wrapText="1"/>
    </xf>
    <xf numFmtId="0" fontId="5" fillId="22" borderId="0" xfId="0" applyFont="1" applyFill="1" applyAlignment="1">
      <alignment horizontal="center" vertical="center"/>
    </xf>
    <xf numFmtId="0" fontId="5" fillId="22" borderId="1" xfId="0" applyFont="1" applyFill="1" applyBorder="1" applyAlignment="1">
      <alignment horizontal="center" vertical="center" wrapText="1"/>
    </xf>
    <xf numFmtId="0" fontId="5" fillId="0" borderId="0" xfId="0" applyFont="1" applyAlignment="1">
      <alignment horizontal="center" vertical="center"/>
    </xf>
    <xf numFmtId="0" fontId="11" fillId="2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center" vertical="center" wrapText="1"/>
    </xf>
    <xf numFmtId="49" fontId="11" fillId="23" borderId="1" xfId="0" applyNumberFormat="1" applyFont="1" applyFill="1" applyBorder="1" applyAlignment="1">
      <alignment horizontal="center" vertical="center" wrapText="1"/>
    </xf>
    <xf numFmtId="49" fontId="11" fillId="23" borderId="1" xfId="0" quotePrefix="1" applyNumberFormat="1" applyFont="1" applyFill="1" applyBorder="1" applyAlignment="1">
      <alignment horizontal="center" vertical="center" wrapText="1"/>
    </xf>
    <xf numFmtId="0" fontId="14" fillId="8" borderId="0" xfId="0" applyFont="1" applyFill="1"/>
    <xf numFmtId="170" fontId="0" fillId="0" borderId="0" xfId="1" applyFont="1" applyFill="1" applyBorder="1"/>
    <xf numFmtId="0" fontId="14" fillId="4" borderId="0" xfId="0" applyFont="1" applyFill="1"/>
    <xf numFmtId="2" fontId="0" fillId="4" borderId="0" xfId="0" applyNumberFormat="1" applyFill="1"/>
    <xf numFmtId="170" fontId="0" fillId="0" borderId="15" xfId="1" applyFont="1" applyFill="1" applyBorder="1"/>
    <xf numFmtId="170" fontId="12" fillId="0" borderId="0" xfId="1" applyFont="1" applyFill="1" applyBorder="1"/>
    <xf numFmtId="170" fontId="0" fillId="0" borderId="0" xfId="0" applyNumberFormat="1"/>
    <xf numFmtId="0" fontId="0" fillId="2" borderId="0" xfId="0" applyFill="1"/>
    <xf numFmtId="10" fontId="44" fillId="24" borderId="0" xfId="0" applyNumberFormat="1" applyFont="1" applyFill="1" applyAlignment="1">
      <alignment horizontal="right" vertical="center"/>
    </xf>
    <xf numFmtId="0" fontId="45" fillId="2" borderId="0" xfId="0" applyFont="1" applyFill="1" applyAlignment="1">
      <alignment vertical="center"/>
    </xf>
    <xf numFmtId="0" fontId="18" fillId="12" borderId="0" xfId="27"/>
    <xf numFmtId="174" fontId="18" fillId="12" borderId="0" xfId="27" applyNumberFormat="1"/>
    <xf numFmtId="17" fontId="18" fillId="12" borderId="0" xfId="27" applyNumberFormat="1"/>
    <xf numFmtId="166" fontId="18" fillId="12" borderId="0" xfId="27" applyNumberFormat="1"/>
    <xf numFmtId="0" fontId="18" fillId="13" borderId="0" xfId="28"/>
    <xf numFmtId="174" fontId="18" fillId="13" borderId="0" xfId="28" applyNumberFormat="1"/>
    <xf numFmtId="166" fontId="18" fillId="13" borderId="0" xfId="28" applyNumberFormat="1"/>
    <xf numFmtId="166" fontId="0" fillId="0" borderId="0" xfId="0" applyNumberFormat="1"/>
    <xf numFmtId="174" fontId="0" fillId="0" borderId="0" xfId="0" applyNumberFormat="1"/>
    <xf numFmtId="0" fontId="33" fillId="4" borderId="0" xfId="0" applyFont="1" applyFill="1"/>
    <xf numFmtId="2" fontId="12" fillId="2" borderId="0" xfId="0" applyNumberFormat="1" applyFont="1" applyFill="1"/>
    <xf numFmtId="2" fontId="0" fillId="2" borderId="0" xfId="0" applyNumberFormat="1" applyFill="1"/>
    <xf numFmtId="170" fontId="13" fillId="0" borderId="0" xfId="0" applyNumberFormat="1" applyFont="1" applyAlignment="1">
      <alignment horizontal="left"/>
    </xf>
    <xf numFmtId="0" fontId="0" fillId="0" borderId="14" xfId="0" applyBorder="1" applyAlignment="1">
      <alignment horizontal="left"/>
    </xf>
    <xf numFmtId="0" fontId="12" fillId="0" borderId="16" xfId="0" applyFont="1" applyBorder="1" applyAlignment="1">
      <alignment horizontal="left"/>
    </xf>
    <xf numFmtId="0" fontId="0" fillId="0" borderId="16" xfId="0" applyBorder="1" applyAlignment="1">
      <alignment horizontal="left"/>
    </xf>
    <xf numFmtId="0" fontId="28" fillId="4" borderId="16" xfId="0" applyFont="1" applyFill="1" applyBorder="1" applyAlignment="1">
      <alignment horizontal="left" vertical="top"/>
    </xf>
    <xf numFmtId="0" fontId="14" fillId="4" borderId="16" xfId="0" applyFont="1" applyFill="1" applyBorder="1" applyAlignment="1">
      <alignment horizontal="left" vertical="top"/>
    </xf>
    <xf numFmtId="0" fontId="28" fillId="10" borderId="16" xfId="0" applyFont="1" applyFill="1" applyBorder="1" applyAlignment="1">
      <alignment horizontal="left" vertical="top"/>
    </xf>
    <xf numFmtId="0" fontId="14" fillId="10" borderId="16" xfId="0" applyFont="1" applyFill="1" applyBorder="1" applyAlignment="1">
      <alignment horizontal="left" vertical="top"/>
    </xf>
    <xf numFmtId="0" fontId="28" fillId="3" borderId="16" xfId="0" applyFont="1" applyFill="1" applyBorder="1" applyAlignment="1">
      <alignment horizontal="left" vertical="top"/>
    </xf>
    <xf numFmtId="0" fontId="14" fillId="3" borderId="16" xfId="0" applyFont="1" applyFill="1" applyBorder="1" applyAlignment="1">
      <alignment horizontal="left" vertical="top"/>
    </xf>
    <xf numFmtId="0" fontId="28" fillId="6" borderId="16" xfId="0" applyFont="1" applyFill="1" applyBorder="1" applyAlignment="1">
      <alignment horizontal="left" vertical="top"/>
    </xf>
    <xf numFmtId="0" fontId="14" fillId="6" borderId="16" xfId="0" applyFont="1" applyFill="1" applyBorder="1" applyAlignment="1">
      <alignment horizontal="left" vertical="top"/>
    </xf>
    <xf numFmtId="0" fontId="14" fillId="11" borderId="16" xfId="0" applyFont="1" applyFill="1" applyBorder="1" applyAlignment="1">
      <alignment horizontal="left" vertical="top"/>
    </xf>
    <xf numFmtId="0" fontId="16" fillId="0" borderId="22" xfId="0" applyFont="1" applyBorder="1" applyAlignment="1">
      <alignment horizontal="center" vertical="center" wrapText="1"/>
    </xf>
    <xf numFmtId="174" fontId="49" fillId="0" borderId="0" xfId="37" applyNumberFormat="1" applyFont="1" applyAlignment="1">
      <alignment horizontal="right" vertical="center"/>
    </xf>
    <xf numFmtId="2" fontId="33" fillId="0" borderId="0" xfId="0" applyNumberFormat="1" applyFont="1"/>
    <xf numFmtId="170" fontId="28" fillId="0" borderId="0" xfId="1" applyFont="1"/>
    <xf numFmtId="170" fontId="14" fillId="0" borderId="0" xfId="1" applyFont="1" applyFill="1" applyAlignment="1">
      <alignment horizontal="center"/>
    </xf>
    <xf numFmtId="170" fontId="14" fillId="0" borderId="0" xfId="1" applyFont="1" applyFill="1" applyBorder="1"/>
    <xf numFmtId="170" fontId="36" fillId="0" borderId="0" xfId="1" applyFont="1" applyFill="1" applyBorder="1"/>
    <xf numFmtId="165" fontId="13" fillId="0" borderId="0" xfId="0" applyNumberFormat="1" applyFont="1" applyAlignment="1">
      <alignment horizontal="left"/>
    </xf>
    <xf numFmtId="0" fontId="44" fillId="24" borderId="0" xfId="0" applyFont="1" applyFill="1" applyAlignment="1">
      <alignment vertical="center"/>
    </xf>
    <xf numFmtId="10" fontId="18" fillId="0" borderId="0" xfId="27" applyNumberFormat="1" applyFill="1" applyBorder="1"/>
    <xf numFmtId="0" fontId="45" fillId="0" borderId="0" xfId="0" applyFont="1" applyAlignment="1">
      <alignment vertical="center"/>
    </xf>
    <xf numFmtId="10" fontId="28" fillId="24" borderId="0" xfId="27" applyNumberFormat="1" applyFont="1" applyFill="1" applyBorder="1"/>
    <xf numFmtId="0" fontId="30" fillId="0" borderId="0" xfId="0" applyFont="1"/>
    <xf numFmtId="10" fontId="0" fillId="0" borderId="0" xfId="0" applyNumberFormat="1"/>
    <xf numFmtId="0" fontId="31" fillId="0" borderId="0" xfId="0" applyFont="1" applyAlignment="1">
      <alignment vertical="center"/>
    </xf>
    <xf numFmtId="2" fontId="28" fillId="0" borderId="0" xfId="0" applyNumberFormat="1" applyFont="1"/>
    <xf numFmtId="0" fontId="14" fillId="25" borderId="0" xfId="0" applyFont="1" applyFill="1"/>
    <xf numFmtId="166" fontId="14" fillId="25" borderId="0" xfId="0" applyNumberFormat="1" applyFont="1" applyFill="1"/>
    <xf numFmtId="166" fontId="28" fillId="25" borderId="0" xfId="0" applyNumberFormat="1" applyFont="1" applyFill="1"/>
    <xf numFmtId="170" fontId="28" fillId="25" borderId="0" xfId="1" applyFont="1" applyFill="1"/>
    <xf numFmtId="2" fontId="14" fillId="0" borderId="0" xfId="0" applyNumberFormat="1" applyFont="1"/>
    <xf numFmtId="166" fontId="14" fillId="25" borderId="32" xfId="0" applyNumberFormat="1" applyFont="1" applyFill="1" applyBorder="1"/>
    <xf numFmtId="166" fontId="14" fillId="25" borderId="33" xfId="0" applyNumberFormat="1" applyFont="1" applyFill="1" applyBorder="1"/>
    <xf numFmtId="166" fontId="28" fillId="25" borderId="34" xfId="0" applyNumberFormat="1" applyFont="1" applyFill="1" applyBorder="1"/>
    <xf numFmtId="170" fontId="14" fillId="25" borderId="7" xfId="1" applyFont="1" applyFill="1" applyBorder="1"/>
    <xf numFmtId="170" fontId="14" fillId="25" borderId="11" xfId="1" applyFont="1" applyFill="1" applyBorder="1"/>
    <xf numFmtId="166" fontId="14" fillId="25" borderId="17" xfId="0" applyNumberFormat="1" applyFont="1" applyFill="1" applyBorder="1"/>
    <xf numFmtId="166" fontId="14" fillId="25" borderId="18" xfId="0" applyNumberFormat="1" applyFont="1" applyFill="1" applyBorder="1"/>
    <xf numFmtId="166" fontId="28" fillId="25" borderId="19" xfId="0" applyNumberFormat="1" applyFont="1" applyFill="1" applyBorder="1"/>
    <xf numFmtId="170" fontId="14" fillId="25" borderId="31" xfId="1" applyFont="1" applyFill="1" applyBorder="1"/>
    <xf numFmtId="170" fontId="14" fillId="25" borderId="13" xfId="1" applyFont="1" applyFill="1" applyBorder="1"/>
    <xf numFmtId="174" fontId="14" fillId="25" borderId="0" xfId="0" applyNumberFormat="1" applyFont="1" applyFill="1"/>
    <xf numFmtId="170" fontId="14" fillId="25" borderId="0" xfId="1" applyFont="1" applyFill="1" applyBorder="1"/>
    <xf numFmtId="170" fontId="36" fillId="25" borderId="0" xfId="1" applyFont="1" applyFill="1" applyBorder="1"/>
    <xf numFmtId="0" fontId="14" fillId="6" borderId="0" xfId="0" applyFont="1" applyFill="1"/>
    <xf numFmtId="166" fontId="14" fillId="6" borderId="0" xfId="0" applyNumberFormat="1" applyFont="1" applyFill="1"/>
    <xf numFmtId="166" fontId="28" fillId="6" borderId="0" xfId="0" applyNumberFormat="1" applyFont="1" applyFill="1"/>
    <xf numFmtId="2" fontId="12" fillId="0" borderId="0" xfId="0" applyNumberFormat="1" applyFont="1" applyAlignment="1">
      <alignment horizontal="right"/>
    </xf>
    <xf numFmtId="170" fontId="12" fillId="0" borderId="0" xfId="1" applyFont="1"/>
    <xf numFmtId="164" fontId="53" fillId="26" borderId="11" xfId="3" applyNumberFormat="1" applyFont="1" applyFill="1" applyBorder="1" applyAlignment="1" applyProtection="1">
      <alignment horizontal="center" vertical="center" wrapText="1"/>
      <protection locked="0"/>
    </xf>
    <xf numFmtId="0" fontId="52" fillId="0" borderId="1" xfId="0" applyFont="1" applyBorder="1"/>
    <xf numFmtId="0" fontId="0" fillId="0" borderId="1" xfId="0" applyBorder="1"/>
    <xf numFmtId="170" fontId="0" fillId="0" borderId="1" xfId="1" applyFont="1" applyBorder="1"/>
    <xf numFmtId="0" fontId="46" fillId="0" borderId="0" xfId="0" applyFont="1" applyAlignment="1">
      <alignment vertical="center"/>
    </xf>
    <xf numFmtId="164" fontId="11" fillId="0" borderId="1" xfId="39" applyNumberFormat="1" applyFont="1" applyFill="1" applyBorder="1" applyAlignment="1" applyProtection="1">
      <alignment horizontal="center" vertical="center" wrapText="1"/>
      <protection locked="0"/>
    </xf>
    <xf numFmtId="170" fontId="14" fillId="0" borderId="1" xfId="1" applyFont="1" applyBorder="1"/>
    <xf numFmtId="0" fontId="14" fillId="0" borderId="1" xfId="0" applyFont="1" applyBorder="1"/>
    <xf numFmtId="165" fontId="0" fillId="0" borderId="1" xfId="0" applyNumberFormat="1" applyBorder="1"/>
    <xf numFmtId="0" fontId="54" fillId="0" borderId="0" xfId="0" applyFont="1"/>
    <xf numFmtId="0" fontId="54" fillId="0" borderId="1" xfId="0" applyFont="1" applyBorder="1"/>
    <xf numFmtId="0" fontId="56" fillId="8" borderId="1" xfId="0" applyFont="1" applyFill="1" applyBorder="1" applyAlignment="1">
      <alignment horizontal="center" wrapText="1"/>
    </xf>
    <xf numFmtId="1" fontId="0" fillId="0" borderId="0" xfId="0" applyNumberFormat="1"/>
    <xf numFmtId="1" fontId="14" fillId="0" borderId="0" xfId="0" applyNumberFormat="1" applyFont="1"/>
    <xf numFmtId="1" fontId="28" fillId="0" borderId="0" xfId="0" applyNumberFormat="1" applyFont="1"/>
    <xf numFmtId="2" fontId="12" fillId="0" borderId="1" xfId="0" applyNumberFormat="1" applyFont="1" applyBorder="1"/>
    <xf numFmtId="2" fontId="47" fillId="18" borderId="1" xfId="0" applyNumberFormat="1" applyFont="1" applyFill="1" applyBorder="1" applyAlignment="1">
      <alignment horizontal="center" vertical="center"/>
    </xf>
    <xf numFmtId="2" fontId="0" fillId="0" borderId="1" xfId="0" applyNumberFormat="1" applyBorder="1"/>
    <xf numFmtId="2" fontId="0" fillId="4" borderId="1" xfId="0" applyNumberFormat="1" applyFill="1" applyBorder="1"/>
    <xf numFmtId="0" fontId="14" fillId="4" borderId="1" xfId="0" applyFont="1" applyFill="1" applyBorder="1"/>
    <xf numFmtId="0" fontId="14" fillId="8" borderId="1" xfId="0" applyFont="1" applyFill="1" applyBorder="1"/>
    <xf numFmtId="2" fontId="0" fillId="2" borderId="1" xfId="0" applyNumberFormat="1" applyFill="1" applyBorder="1"/>
    <xf numFmtId="0" fontId="33" fillId="0" borderId="1" xfId="0" applyFont="1" applyBorder="1"/>
    <xf numFmtId="0" fontId="33" fillId="4" borderId="1" xfId="0" applyFont="1" applyFill="1" applyBorder="1"/>
    <xf numFmtId="2" fontId="58" fillId="0" borderId="1" xfId="0" applyNumberFormat="1" applyFont="1" applyBorder="1" applyAlignment="1">
      <alignment horizontal="center" vertical="center"/>
    </xf>
    <xf numFmtId="174" fontId="45" fillId="0" borderId="1" xfId="37" applyNumberFormat="1" applyFont="1" applyFill="1" applyBorder="1" applyAlignment="1">
      <alignment horizontal="right" vertical="center"/>
    </xf>
    <xf numFmtId="166" fontId="1" fillId="0" borderId="1" xfId="27" applyNumberFormat="1" applyFont="1" applyFill="1" applyBorder="1"/>
    <xf numFmtId="2" fontId="12" fillId="24" borderId="1" xfId="0" applyNumberFormat="1" applyFont="1" applyFill="1" applyBorder="1" applyAlignment="1">
      <alignment horizontal="center" vertical="center"/>
    </xf>
    <xf numFmtId="2" fontId="58" fillId="24" borderId="1" xfId="0" applyNumberFormat="1" applyFont="1" applyFill="1" applyBorder="1" applyAlignment="1">
      <alignment horizontal="center" vertical="center" wrapText="1"/>
    </xf>
    <xf numFmtId="1" fontId="12" fillId="24" borderId="1" xfId="0" applyNumberFormat="1" applyFont="1" applyFill="1" applyBorder="1" applyAlignment="1">
      <alignment horizontal="center" vertical="center" wrapText="1"/>
    </xf>
    <xf numFmtId="176" fontId="0" fillId="0" borderId="1" xfId="1" applyNumberFormat="1" applyFont="1" applyBorder="1" applyAlignment="1">
      <alignment horizontal="left"/>
    </xf>
    <xf numFmtId="176" fontId="12" fillId="0" borderId="1" xfId="1" applyNumberFormat="1" applyFont="1" applyBorder="1" applyAlignment="1">
      <alignment horizontal="left"/>
    </xf>
    <xf numFmtId="176" fontId="12" fillId="0" borderId="1" xfId="1" applyNumberFormat="1" applyFont="1" applyFill="1" applyBorder="1" applyAlignment="1">
      <alignment horizontal="left"/>
    </xf>
    <xf numFmtId="176" fontId="0" fillId="0" borderId="1" xfId="1" applyNumberFormat="1" applyFont="1" applyFill="1" applyBorder="1" applyAlignment="1">
      <alignment horizontal="left"/>
    </xf>
    <xf numFmtId="170" fontId="12" fillId="0" borderId="25" xfId="0" applyNumberFormat="1" applyFont="1" applyBorder="1"/>
    <xf numFmtId="170" fontId="12" fillId="0" borderId="18" xfId="0" applyNumberFormat="1" applyFont="1" applyBorder="1"/>
    <xf numFmtId="170" fontId="12" fillId="0" borderId="18" xfId="1" applyFont="1" applyBorder="1"/>
    <xf numFmtId="170" fontId="57" fillId="0" borderId="18" xfId="1" applyFont="1" applyBorder="1" applyAlignment="1">
      <alignment vertical="center"/>
    </xf>
    <xf numFmtId="1" fontId="0" fillId="0" borderId="1" xfId="0" applyNumberFormat="1" applyBorder="1" applyAlignment="1">
      <alignment horizontal="center" wrapText="1"/>
    </xf>
    <xf numFmtId="174" fontId="31" fillId="0" borderId="1" xfId="37" applyNumberFormat="1" applyFont="1" applyBorder="1" applyAlignment="1">
      <alignment horizontal="center" vertical="center" wrapText="1"/>
    </xf>
    <xf numFmtId="170" fontId="31" fillId="0" borderId="1" xfId="1" applyFont="1" applyBorder="1" applyAlignment="1">
      <alignment vertical="center"/>
    </xf>
    <xf numFmtId="0" fontId="56" fillId="8" borderId="1" xfId="0" applyFont="1" applyFill="1" applyBorder="1" applyAlignment="1">
      <alignment horizontal="center" vertical="center" wrapText="1"/>
    </xf>
    <xf numFmtId="10" fontId="12" fillId="0" borderId="0" xfId="38" applyNumberFormat="1" applyFont="1"/>
    <xf numFmtId="10" fontId="0" fillId="0" borderId="0" xfId="38" applyNumberFormat="1" applyFont="1"/>
    <xf numFmtId="10" fontId="12" fillId="0" borderId="1" xfId="38" applyNumberFormat="1" applyFont="1" applyBorder="1" applyAlignment="1">
      <alignment horizontal="center"/>
    </xf>
    <xf numFmtId="10" fontId="0" fillId="0" borderId="1" xfId="38" applyNumberFormat="1" applyFont="1" applyBorder="1" applyAlignment="1">
      <alignment horizontal="center"/>
    </xf>
    <xf numFmtId="10" fontId="0" fillId="0" borderId="1" xfId="38" applyNumberFormat="1" applyFont="1" applyFill="1" applyBorder="1" applyAlignment="1">
      <alignment horizontal="center"/>
    </xf>
    <xf numFmtId="2" fontId="0" fillId="0" borderId="0" xfId="0" applyNumberFormat="1" applyAlignment="1">
      <alignment horizontal="center"/>
    </xf>
    <xf numFmtId="165" fontId="0" fillId="0" borderId="1" xfId="0" applyNumberFormat="1" applyBorder="1" applyAlignment="1">
      <alignment horizontal="center"/>
    </xf>
    <xf numFmtId="0" fontId="0" fillId="0" borderId="1" xfId="0" applyBorder="1" applyAlignment="1">
      <alignment horizontal="center"/>
    </xf>
    <xf numFmtId="170" fontId="12" fillId="0" borderId="25" xfId="0" applyNumberFormat="1" applyFont="1" applyBorder="1" applyAlignment="1">
      <alignment horizontal="center"/>
    </xf>
    <xf numFmtId="170" fontId="0" fillId="0" borderId="0" xfId="1" applyFont="1" applyAlignment="1">
      <alignment horizontal="center"/>
    </xf>
    <xf numFmtId="2" fontId="12" fillId="0" borderId="0" xfId="0" applyNumberFormat="1" applyFont="1" applyAlignment="1">
      <alignment horizontal="center"/>
    </xf>
    <xf numFmtId="10" fontId="1" fillId="0" borderId="1" xfId="38" applyNumberFormat="1" applyFont="1" applyBorder="1" applyAlignment="1">
      <alignment horizontal="center"/>
    </xf>
    <xf numFmtId="170" fontId="14" fillId="0" borderId="1" xfId="1" applyFont="1" applyFill="1" applyBorder="1"/>
    <xf numFmtId="0" fontId="53" fillId="0" borderId="26" xfId="0" applyFont="1" applyBorder="1"/>
    <xf numFmtId="0" fontId="59" fillId="0" borderId="0" xfId="0" applyFont="1"/>
    <xf numFmtId="0" fontId="59" fillId="0" borderId="1" xfId="0" applyFont="1" applyBorder="1" applyAlignment="1">
      <alignment horizontal="left" vertical="center"/>
    </xf>
    <xf numFmtId="164" fontId="53" fillId="16" borderId="1" xfId="39" applyNumberFormat="1" applyFont="1" applyFill="1" applyBorder="1" applyAlignment="1" applyProtection="1">
      <alignment horizontal="center" vertical="center" wrapText="1"/>
      <protection locked="0"/>
    </xf>
    <xf numFmtId="164" fontId="53" fillId="7" borderId="1" xfId="39" applyNumberFormat="1" applyFont="1" applyFill="1" applyBorder="1" applyAlignment="1" applyProtection="1">
      <alignment horizontal="center" vertical="center" wrapText="1"/>
      <protection locked="0"/>
    </xf>
    <xf numFmtId="164" fontId="53" fillId="7" borderId="11" xfId="39" applyNumberFormat="1" applyFont="1" applyFill="1" applyBorder="1" applyAlignment="1" applyProtection="1">
      <alignment horizontal="center" vertical="center" wrapText="1"/>
      <protection locked="0"/>
    </xf>
    <xf numFmtId="164" fontId="53" fillId="0" borderId="0" xfId="39" applyNumberFormat="1" applyFont="1" applyFill="1" applyBorder="1" applyAlignment="1" applyProtection="1">
      <alignment horizontal="center" vertical="center" wrapText="1"/>
      <protection locked="0"/>
    </xf>
    <xf numFmtId="164" fontId="53" fillId="0" borderId="11" xfId="39" applyNumberFormat="1" applyFont="1" applyFill="1" applyBorder="1" applyAlignment="1" applyProtection="1">
      <alignment horizontal="center" vertical="center" wrapText="1"/>
      <protection locked="0"/>
    </xf>
    <xf numFmtId="10" fontId="54" fillId="0" borderId="0" xfId="0" applyNumberFormat="1" applyFont="1" applyAlignment="1">
      <alignment horizontal="center" vertical="center" wrapText="1"/>
    </xf>
    <xf numFmtId="170" fontId="54" fillId="0" borderId="1" xfId="1" applyFont="1" applyBorder="1"/>
    <xf numFmtId="170" fontId="36" fillId="0" borderId="1" xfId="1" applyFont="1" applyFill="1" applyBorder="1"/>
    <xf numFmtId="170" fontId="54" fillId="0" borderId="0" xfId="1" applyFont="1" applyBorder="1"/>
    <xf numFmtId="9" fontId="54" fillId="0" borderId="0" xfId="38" applyFont="1"/>
    <xf numFmtId="170" fontId="54" fillId="0" borderId="0" xfId="1" applyFont="1"/>
    <xf numFmtId="165" fontId="54" fillId="0" borderId="0" xfId="0" applyNumberFormat="1" applyFont="1"/>
    <xf numFmtId="0" fontId="36" fillId="0" borderId="1" xfId="0" applyFont="1" applyBorder="1"/>
    <xf numFmtId="170" fontId="59" fillId="0" borderId="25" xfId="0" applyNumberFormat="1" applyFont="1" applyBorder="1"/>
    <xf numFmtId="170" fontId="59" fillId="0" borderId="26" xfId="0" applyNumberFormat="1" applyFont="1" applyBorder="1"/>
    <xf numFmtId="170" fontId="59" fillId="0" borderId="0" xfId="0" applyNumberFormat="1" applyFont="1"/>
    <xf numFmtId="170" fontId="54" fillId="0" borderId="0" xfId="0" applyNumberFormat="1" applyFont="1"/>
    <xf numFmtId="165" fontId="59" fillId="0" borderId="0" xfId="0" applyNumberFormat="1" applyFont="1"/>
    <xf numFmtId="165" fontId="54" fillId="0" borderId="1" xfId="0" applyNumberFormat="1" applyFont="1" applyBorder="1"/>
    <xf numFmtId="0" fontId="54" fillId="7" borderId="1" xfId="0" applyFont="1" applyFill="1" applyBorder="1"/>
    <xf numFmtId="0" fontId="59" fillId="0" borderId="26" xfId="0" applyFont="1" applyBorder="1"/>
    <xf numFmtId="165" fontId="59" fillId="0" borderId="26" xfId="0" applyNumberFormat="1" applyFont="1" applyBorder="1"/>
    <xf numFmtId="0" fontId="54" fillId="0" borderId="26" xfId="0" applyFont="1" applyBorder="1"/>
    <xf numFmtId="0" fontId="59" fillId="7" borderId="1" xfId="0" applyFont="1" applyFill="1" applyBorder="1" applyAlignment="1">
      <alignment horizontal="left" vertical="center"/>
    </xf>
    <xf numFmtId="0" fontId="56" fillId="7" borderId="1" xfId="0" applyFont="1" applyFill="1" applyBorder="1" applyAlignment="1">
      <alignment horizontal="center" vertical="center" wrapText="1"/>
    </xf>
    <xf numFmtId="170" fontId="59" fillId="0" borderId="0" xfId="1" applyFont="1"/>
    <xf numFmtId="170" fontId="54" fillId="0" borderId="0" xfId="1" applyFont="1" applyFill="1" applyBorder="1"/>
    <xf numFmtId="0" fontId="56" fillId="7" borderId="1" xfId="0" applyFont="1" applyFill="1" applyBorder="1" applyAlignment="1">
      <alignment horizontal="left" vertical="center"/>
    </xf>
    <xf numFmtId="170" fontId="59" fillId="0" borderId="26" xfId="1" applyFont="1" applyBorder="1"/>
    <xf numFmtId="164" fontId="53" fillId="6" borderId="1" xfId="3" applyNumberFormat="1" applyFont="1" applyFill="1" applyBorder="1" applyAlignment="1" applyProtection="1">
      <alignment horizontal="center" vertical="center" wrapText="1"/>
      <protection locked="0"/>
    </xf>
    <xf numFmtId="10" fontId="33" fillId="0" borderId="0" xfId="38" applyNumberFormat="1" applyFont="1"/>
    <xf numFmtId="170" fontId="50" fillId="0" borderId="1" xfId="1" applyFont="1" applyBorder="1"/>
    <xf numFmtId="170" fontId="12" fillId="6" borderId="0" xfId="1" applyFont="1" applyFill="1"/>
    <xf numFmtId="2" fontId="12" fillId="0" borderId="0" xfId="0" applyNumberFormat="1" applyFont="1" applyAlignment="1">
      <alignment horizontal="center" vertical="center"/>
    </xf>
    <xf numFmtId="170" fontId="28" fillId="0" borderId="1" xfId="1" applyFont="1" applyBorder="1"/>
    <xf numFmtId="174" fontId="48" fillId="0" borderId="1" xfId="37" applyNumberFormat="1" applyFont="1" applyBorder="1"/>
    <xf numFmtId="166" fontId="14" fillId="0" borderId="1" xfId="0" applyNumberFormat="1" applyFont="1" applyBorder="1"/>
    <xf numFmtId="170" fontId="14" fillId="4" borderId="1" xfId="1" applyFont="1" applyFill="1" applyBorder="1"/>
    <xf numFmtId="169" fontId="14" fillId="0" borderId="1" xfId="0" applyNumberFormat="1" applyFont="1" applyBorder="1"/>
    <xf numFmtId="166" fontId="14" fillId="4" borderId="1" xfId="1" applyNumberFormat="1" applyFont="1" applyFill="1" applyBorder="1"/>
    <xf numFmtId="166" fontId="14" fillId="0" borderId="1" xfId="1" applyNumberFormat="1" applyFont="1" applyBorder="1"/>
    <xf numFmtId="174" fontId="49" fillId="0" borderId="1" xfId="37" applyNumberFormat="1" applyFont="1" applyBorder="1" applyAlignment="1">
      <alignment horizontal="right" vertical="center"/>
    </xf>
    <xf numFmtId="174" fontId="51" fillId="0" borderId="1" xfId="37" applyNumberFormat="1" applyFont="1" applyBorder="1" applyAlignment="1">
      <alignment horizontal="right" vertical="center"/>
    </xf>
    <xf numFmtId="170" fontId="14" fillId="8" borderId="1" xfId="1" applyFont="1" applyFill="1" applyBorder="1"/>
    <xf numFmtId="174" fontId="48" fillId="2" borderId="1" xfId="37" applyNumberFormat="1" applyFont="1" applyFill="1" applyBorder="1"/>
    <xf numFmtId="174" fontId="14" fillId="0" borderId="1" xfId="1" applyNumberFormat="1" applyFont="1" applyFill="1" applyBorder="1"/>
    <xf numFmtId="170" fontId="14" fillId="2" borderId="1" xfId="1" applyFont="1" applyFill="1" applyBorder="1"/>
    <xf numFmtId="170" fontId="14" fillId="0" borderId="1" xfId="1" applyFont="1" applyFill="1" applyBorder="1" applyAlignment="1">
      <alignment horizontal="center"/>
    </xf>
    <xf numFmtId="174" fontId="45" fillId="0" borderId="1" xfId="37" applyNumberFormat="1" applyFont="1" applyFill="1" applyBorder="1" applyAlignment="1">
      <alignment vertical="center"/>
    </xf>
    <xf numFmtId="170" fontId="28" fillId="0" borderId="1" xfId="1" applyFont="1" applyFill="1" applyBorder="1"/>
    <xf numFmtId="2" fontId="12" fillId="16" borderId="1" xfId="0" applyNumberFormat="1" applyFont="1" applyFill="1" applyBorder="1"/>
    <xf numFmtId="2" fontId="0" fillId="16" borderId="1" xfId="0" applyNumberFormat="1" applyFill="1" applyBorder="1"/>
    <xf numFmtId="176" fontId="12" fillId="16" borderId="1" xfId="1" applyNumberFormat="1" applyFont="1" applyFill="1" applyBorder="1" applyAlignment="1">
      <alignment horizontal="left"/>
    </xf>
    <xf numFmtId="174" fontId="58" fillId="16" borderId="1" xfId="37" applyNumberFormat="1" applyFont="1" applyFill="1" applyBorder="1" applyAlignment="1"/>
    <xf numFmtId="10" fontId="28" fillId="16" borderId="1" xfId="38" applyNumberFormat="1" applyFont="1" applyFill="1" applyBorder="1" applyAlignment="1">
      <alignment horizontal="center"/>
    </xf>
    <xf numFmtId="170" fontId="14" fillId="2" borderId="0" xfId="1" applyFont="1" applyFill="1" applyBorder="1"/>
    <xf numFmtId="170" fontId="36" fillId="2" borderId="0" xfId="1" applyFont="1" applyFill="1" applyBorder="1"/>
    <xf numFmtId="2" fontId="0" fillId="2" borderId="5" xfId="0" applyNumberFormat="1" applyFill="1" applyBorder="1"/>
    <xf numFmtId="2" fontId="0" fillId="2" borderId="6" xfId="0" applyNumberFormat="1" applyFill="1" applyBorder="1"/>
    <xf numFmtId="1" fontId="0" fillId="2" borderId="6" xfId="0" applyNumberFormat="1" applyFill="1" applyBorder="1"/>
    <xf numFmtId="174" fontId="31" fillId="2" borderId="6" xfId="37" applyNumberFormat="1" applyFont="1" applyFill="1" applyBorder="1" applyAlignment="1">
      <alignment vertical="center"/>
    </xf>
    <xf numFmtId="174" fontId="49" fillId="2" borderId="6" xfId="37" applyNumberFormat="1" applyFont="1" applyFill="1" applyBorder="1" applyAlignment="1">
      <alignment horizontal="right" vertical="center"/>
    </xf>
    <xf numFmtId="170" fontId="14" fillId="2" borderId="6" xfId="1" applyFont="1" applyFill="1" applyBorder="1"/>
    <xf numFmtId="170" fontId="36" fillId="2" borderId="6" xfId="1" applyFont="1" applyFill="1" applyBorder="1"/>
    <xf numFmtId="2" fontId="0" fillId="2" borderId="7" xfId="0" applyNumberFormat="1" applyFill="1" applyBorder="1" applyAlignment="1">
      <alignment horizontal="center"/>
    </xf>
    <xf numFmtId="2" fontId="0" fillId="2" borderId="29" xfId="0" applyNumberFormat="1" applyFill="1" applyBorder="1"/>
    <xf numFmtId="1" fontId="0" fillId="2" borderId="0" xfId="0" applyNumberFormat="1" applyFill="1"/>
    <xf numFmtId="174" fontId="31" fillId="2" borderId="0" xfId="37" applyNumberFormat="1" applyFont="1" applyFill="1" applyBorder="1" applyAlignment="1">
      <alignment vertical="center"/>
    </xf>
    <xf numFmtId="174" fontId="49" fillId="2" borderId="0" xfId="37" applyNumberFormat="1" applyFont="1" applyFill="1" applyBorder="1" applyAlignment="1">
      <alignment horizontal="right" vertical="center"/>
    </xf>
    <xf numFmtId="2" fontId="0" fillId="2" borderId="31" xfId="0" applyNumberFormat="1" applyFill="1" applyBorder="1" applyAlignment="1">
      <alignment horizontal="center"/>
    </xf>
    <xf numFmtId="2" fontId="0" fillId="2" borderId="8" xfId="0" applyNumberFormat="1" applyFill="1" applyBorder="1"/>
    <xf numFmtId="2" fontId="0" fillId="2" borderId="9" xfId="0" applyNumberFormat="1" applyFill="1" applyBorder="1"/>
    <xf numFmtId="2" fontId="12" fillId="2" borderId="9" xfId="0" applyNumberFormat="1" applyFont="1" applyFill="1" applyBorder="1"/>
    <xf numFmtId="176" fontId="12" fillId="2" borderId="9" xfId="1" applyNumberFormat="1" applyFont="1" applyFill="1" applyBorder="1"/>
    <xf numFmtId="174" fontId="49" fillId="2" borderId="9" xfId="37" applyNumberFormat="1" applyFont="1" applyFill="1" applyBorder="1" applyAlignment="1">
      <alignment horizontal="right" vertical="center"/>
    </xf>
    <xf numFmtId="170" fontId="14" fillId="2" borderId="9" xfId="1" applyFont="1" applyFill="1" applyBorder="1"/>
    <xf numFmtId="170" fontId="36" fillId="2" borderId="9" xfId="1" applyFont="1" applyFill="1" applyBorder="1"/>
    <xf numFmtId="2" fontId="0" fillId="2" borderId="10" xfId="0" applyNumberFormat="1" applyFill="1" applyBorder="1" applyAlignment="1">
      <alignment horizontal="center"/>
    </xf>
    <xf numFmtId="174" fontId="57" fillId="2" borderId="9" xfId="37" applyNumberFormat="1" applyFont="1" applyFill="1" applyBorder="1" applyAlignment="1">
      <alignment horizontal="right" vertical="center"/>
    </xf>
    <xf numFmtId="176" fontId="12" fillId="17" borderId="1" xfId="1" applyNumberFormat="1" applyFont="1" applyFill="1" applyBorder="1" applyAlignment="1">
      <alignment horizontal="left"/>
    </xf>
    <xf numFmtId="0" fontId="55" fillId="27" borderId="0" xfId="0" applyFont="1" applyFill="1" applyAlignment="1">
      <alignment vertical="center"/>
    </xf>
    <xf numFmtId="2" fontId="0" fillId="27" borderId="0" xfId="0" applyNumberFormat="1" applyFill="1"/>
    <xf numFmtId="170" fontId="12" fillId="27" borderId="0" xfId="1" applyFont="1" applyFill="1"/>
    <xf numFmtId="2" fontId="12" fillId="27" borderId="0" xfId="0" quotePrefix="1" applyNumberFormat="1" applyFont="1" applyFill="1" applyAlignment="1">
      <alignment horizontal="center"/>
    </xf>
    <xf numFmtId="10" fontId="12" fillId="27" borderId="0" xfId="38" applyNumberFormat="1" applyFont="1" applyFill="1" applyAlignment="1">
      <alignment horizontal="center"/>
    </xf>
    <xf numFmtId="0" fontId="52" fillId="27" borderId="0" xfId="0" applyFont="1" applyFill="1" applyAlignment="1">
      <alignment horizontal="right"/>
    </xf>
    <xf numFmtId="2" fontId="0" fillId="27" borderId="7" xfId="0" applyNumberFormat="1" applyFill="1" applyBorder="1"/>
    <xf numFmtId="2" fontId="0" fillId="27" borderId="31" xfId="0" applyNumberFormat="1" applyFill="1" applyBorder="1"/>
    <xf numFmtId="170" fontId="0" fillId="27" borderId="11" xfId="1" applyFont="1" applyFill="1" applyBorder="1"/>
    <xf numFmtId="2" fontId="0" fillId="27" borderId="10" xfId="0" applyNumberFormat="1" applyFill="1" applyBorder="1"/>
    <xf numFmtId="170" fontId="12" fillId="27" borderId="25" xfId="1" applyFont="1" applyFill="1" applyBorder="1"/>
    <xf numFmtId="2" fontId="12" fillId="27" borderId="0" xfId="0" applyNumberFormat="1" applyFont="1" applyFill="1" applyAlignment="1">
      <alignment horizontal="center" wrapText="1"/>
    </xf>
    <xf numFmtId="2" fontId="0" fillId="27" borderId="6" xfId="0" applyNumberFormat="1" applyFill="1" applyBorder="1"/>
    <xf numFmtId="2" fontId="0" fillId="27" borderId="9" xfId="0" applyNumberFormat="1" applyFill="1" applyBorder="1"/>
    <xf numFmtId="170" fontId="12" fillId="27" borderId="18" xfId="1" applyFont="1" applyFill="1" applyBorder="1"/>
    <xf numFmtId="170" fontId="0" fillId="27" borderId="13" xfId="1" applyFont="1" applyFill="1" applyBorder="1"/>
    <xf numFmtId="170" fontId="0" fillId="27" borderId="12" xfId="1" applyFont="1" applyFill="1" applyBorder="1"/>
    <xf numFmtId="2" fontId="0" fillId="27" borderId="0" xfId="0" applyNumberFormat="1" applyFill="1" applyAlignment="1">
      <alignment horizontal="right"/>
    </xf>
    <xf numFmtId="170" fontId="12" fillId="27" borderId="30" xfId="1" applyFont="1" applyFill="1" applyBorder="1" applyAlignment="1">
      <alignment vertical="center"/>
    </xf>
    <xf numFmtId="170" fontId="0" fillId="27" borderId="0" xfId="1" applyFont="1" applyFill="1"/>
    <xf numFmtId="2" fontId="12" fillId="6" borderId="0" xfId="0" applyNumberFormat="1" applyFont="1" applyFill="1"/>
    <xf numFmtId="10" fontId="0" fillId="2" borderId="0" xfId="0" applyNumberFormat="1" applyFill="1"/>
    <xf numFmtId="10" fontId="12" fillId="24" borderId="0" xfId="0" applyNumberFormat="1" applyFont="1" applyFill="1"/>
    <xf numFmtId="170" fontId="28" fillId="0" borderId="0" xfId="0" applyNumberFormat="1" applyFont="1"/>
    <xf numFmtId="170" fontId="14" fillId="0" borderId="0" xfId="0" applyNumberFormat="1" applyFont="1"/>
    <xf numFmtId="170" fontId="15" fillId="0" borderId="0" xfId="0" applyNumberFormat="1" applyFont="1" applyAlignment="1">
      <alignment horizontal="left"/>
    </xf>
    <xf numFmtId="177" fontId="45" fillId="0" borderId="1" xfId="1" applyNumberFormat="1" applyFont="1" applyFill="1" applyBorder="1" applyAlignment="1">
      <alignment horizontal="right"/>
    </xf>
    <xf numFmtId="170" fontId="33" fillId="0" borderId="0" xfId="1" applyFont="1" applyAlignment="1">
      <alignment horizontal="left"/>
    </xf>
    <xf numFmtId="170" fontId="33" fillId="0" borderId="0" xfId="0" applyNumberFormat="1" applyFont="1"/>
    <xf numFmtId="176" fontId="12" fillId="2" borderId="1" xfId="1" applyNumberFormat="1" applyFont="1" applyFill="1" applyBorder="1" applyAlignment="1">
      <alignment horizontal="left"/>
    </xf>
    <xf numFmtId="176" fontId="0" fillId="2" borderId="1" xfId="1" applyNumberFormat="1" applyFont="1" applyFill="1" applyBorder="1" applyAlignment="1">
      <alignment horizontal="left"/>
    </xf>
    <xf numFmtId="174" fontId="45" fillId="2" borderId="1" xfId="37" applyNumberFormat="1" applyFont="1" applyFill="1" applyBorder="1" applyAlignment="1">
      <alignment horizontal="right" vertical="center"/>
    </xf>
    <xf numFmtId="10" fontId="0" fillId="2" borderId="1" xfId="38" applyNumberFormat="1" applyFont="1" applyFill="1" applyBorder="1" applyAlignment="1">
      <alignment horizontal="center"/>
    </xf>
    <xf numFmtId="0" fontId="59" fillId="2" borderId="1" xfId="0" applyFont="1" applyFill="1" applyBorder="1" applyAlignment="1">
      <alignment horizontal="left" vertical="center"/>
    </xf>
    <xf numFmtId="164" fontId="11" fillId="2" borderId="1" xfId="39" applyNumberFormat="1" applyFont="1" applyFill="1" applyBorder="1" applyAlignment="1" applyProtection="1">
      <alignment horizontal="center" vertical="center" wrapText="1"/>
      <protection locked="0"/>
    </xf>
    <xf numFmtId="0" fontId="52" fillId="2" borderId="1" xfId="0" applyFont="1" applyFill="1" applyBorder="1"/>
    <xf numFmtId="165" fontId="0" fillId="2" borderId="1" xfId="0" applyNumberFormat="1" applyFill="1" applyBorder="1" applyAlignment="1">
      <alignment horizontal="center"/>
    </xf>
    <xf numFmtId="0" fontId="0" fillId="2" borderId="1" xfId="0" applyFill="1" applyBorder="1" applyAlignment="1">
      <alignment horizontal="center"/>
    </xf>
    <xf numFmtId="0" fontId="66" fillId="0" borderId="21" xfId="0" applyFont="1" applyBorder="1" applyAlignment="1">
      <alignment horizontal="center" vertical="center" wrapText="1"/>
    </xf>
    <xf numFmtId="0" fontId="12" fillId="2" borderId="0" xfId="0" applyFont="1" applyFill="1"/>
    <xf numFmtId="1" fontId="14" fillId="2" borderId="1" xfId="0" applyNumberFormat="1" applyFont="1" applyFill="1" applyBorder="1" applyAlignment="1">
      <alignment horizontal="center" wrapText="1"/>
    </xf>
    <xf numFmtId="174" fontId="51" fillId="2" borderId="1" xfId="37" applyNumberFormat="1" applyFont="1" applyFill="1" applyBorder="1" applyAlignment="1">
      <alignment horizontal="center" vertical="center" wrapText="1"/>
    </xf>
    <xf numFmtId="170" fontId="51" fillId="2" borderId="1" xfId="1" applyFont="1" applyFill="1" applyBorder="1" applyAlignment="1">
      <alignment vertical="center"/>
    </xf>
    <xf numFmtId="170" fontId="14" fillId="2" borderId="18" xfId="1" applyFont="1" applyFill="1" applyBorder="1"/>
    <xf numFmtId="170" fontId="51" fillId="2" borderId="18" xfId="1" applyFont="1" applyFill="1" applyBorder="1" applyAlignment="1">
      <alignment vertical="center"/>
    </xf>
    <xf numFmtId="174" fontId="51" fillId="2" borderId="25" xfId="37" applyNumberFormat="1" applyFont="1" applyFill="1" applyBorder="1" applyAlignment="1">
      <alignment vertical="center"/>
    </xf>
    <xf numFmtId="2" fontId="69" fillId="0" borderId="0" xfId="0" applyNumberFormat="1" applyFont="1"/>
    <xf numFmtId="176" fontId="12" fillId="2" borderId="6" xfId="1" applyNumberFormat="1" applyFont="1" applyFill="1" applyBorder="1"/>
    <xf numFmtId="174" fontId="57" fillId="2" borderId="6" xfId="37" applyNumberFormat="1" applyFont="1" applyFill="1" applyBorder="1" applyAlignment="1">
      <alignment horizontal="right" vertical="center"/>
    </xf>
    <xf numFmtId="1" fontId="14" fillId="2" borderId="0" xfId="0" applyNumberFormat="1" applyFont="1" applyFill="1"/>
    <xf numFmtId="174" fontId="51" fillId="2" borderId="0" xfId="37" applyNumberFormat="1" applyFont="1" applyFill="1" applyBorder="1" applyAlignment="1">
      <alignment vertical="center"/>
    </xf>
    <xf numFmtId="0" fontId="0" fillId="2" borderId="29" xfId="0" applyFill="1" applyBorder="1"/>
    <xf numFmtId="170" fontId="12" fillId="2" borderId="28" xfId="0" applyNumberFormat="1" applyFont="1" applyFill="1" applyBorder="1" applyAlignment="1">
      <alignment horizontal="center"/>
    </xf>
    <xf numFmtId="170" fontId="0" fillId="2" borderId="31" xfId="1" applyFont="1" applyFill="1" applyBorder="1" applyAlignment="1">
      <alignment horizontal="center"/>
    </xf>
    <xf numFmtId="2" fontId="67" fillId="2" borderId="0" xfId="0" applyNumberFormat="1" applyFont="1" applyFill="1" applyAlignment="1">
      <alignment vertical="center"/>
    </xf>
    <xf numFmtId="2" fontId="12" fillId="2" borderId="29" xfId="0" applyNumberFormat="1" applyFont="1" applyFill="1" applyBorder="1"/>
    <xf numFmtId="0" fontId="14" fillId="2" borderId="0" xfId="0" applyFont="1" applyFill="1"/>
    <xf numFmtId="2" fontId="12" fillId="2" borderId="31" xfId="0" applyNumberFormat="1" applyFont="1" applyFill="1" applyBorder="1" applyAlignment="1">
      <alignment horizontal="center"/>
    </xf>
    <xf numFmtId="2" fontId="12" fillId="8" borderId="1" xfId="0" applyNumberFormat="1" applyFont="1" applyFill="1" applyBorder="1" applyAlignment="1">
      <alignment horizontal="center" vertical="center"/>
    </xf>
    <xf numFmtId="1" fontId="12" fillId="8" borderId="1" xfId="0" applyNumberFormat="1" applyFont="1" applyFill="1" applyBorder="1" applyAlignment="1">
      <alignment horizontal="center" vertical="center" wrapText="1"/>
    </xf>
    <xf numFmtId="2" fontId="58" fillId="8" borderId="1" xfId="0" applyNumberFormat="1" applyFont="1" applyFill="1" applyBorder="1" applyAlignment="1">
      <alignment horizontal="center" vertical="center" wrapText="1"/>
    </xf>
    <xf numFmtId="2" fontId="12" fillId="8" borderId="1" xfId="0" applyNumberFormat="1" applyFont="1" applyFill="1" applyBorder="1"/>
    <xf numFmtId="176" fontId="12" fillId="8" borderId="1" xfId="1" applyNumberFormat="1" applyFont="1" applyFill="1" applyBorder="1" applyAlignment="1">
      <alignment horizontal="left"/>
    </xf>
    <xf numFmtId="10" fontId="28" fillId="8" borderId="1" xfId="38" applyNumberFormat="1" applyFont="1" applyFill="1" applyBorder="1" applyAlignment="1">
      <alignment horizontal="center"/>
    </xf>
    <xf numFmtId="176" fontId="70" fillId="18" borderId="0" xfId="1" applyNumberFormat="1" applyFont="1" applyFill="1" applyAlignment="1">
      <alignment horizontal="center" vertical="center"/>
    </xf>
    <xf numFmtId="176" fontId="28" fillId="0" borderId="0" xfId="1" applyNumberFormat="1" applyFont="1"/>
    <xf numFmtId="176" fontId="14" fillId="0" borderId="0" xfId="1" applyNumberFormat="1" applyFont="1"/>
    <xf numFmtId="176" fontId="0" fillId="0" borderId="0" xfId="1" applyNumberFormat="1" applyFont="1"/>
    <xf numFmtId="176" fontId="49" fillId="0" borderId="0" xfId="1" applyNumberFormat="1" applyFont="1" applyAlignment="1">
      <alignment horizontal="right" vertical="center"/>
    </xf>
    <xf numFmtId="176" fontId="14" fillId="0" borderId="0" xfId="1" applyNumberFormat="1" applyFont="1" applyFill="1" applyAlignment="1">
      <alignment horizontal="center"/>
    </xf>
    <xf numFmtId="176" fontId="31" fillId="0" borderId="0" xfId="1" applyNumberFormat="1" applyFont="1" applyAlignment="1">
      <alignment vertical="center"/>
    </xf>
    <xf numFmtId="176" fontId="14" fillId="0" borderId="0" xfId="1" applyNumberFormat="1" applyFont="1" applyFill="1" applyBorder="1"/>
    <xf numFmtId="176" fontId="36" fillId="0" borderId="0" xfId="1" applyNumberFormat="1" applyFont="1" applyFill="1" applyBorder="1"/>
    <xf numFmtId="176" fontId="33" fillId="0" borderId="0" xfId="1" applyNumberFormat="1" applyFont="1"/>
    <xf numFmtId="176" fontId="14" fillId="25" borderId="0" xfId="1" applyNumberFormat="1" applyFont="1" applyFill="1"/>
    <xf numFmtId="176" fontId="28" fillId="0" borderId="0" xfId="1" applyNumberFormat="1" applyFont="1" applyFill="1" applyBorder="1"/>
    <xf numFmtId="176" fontId="28" fillId="0" borderId="30" xfId="1" applyNumberFormat="1" applyFont="1" applyBorder="1"/>
    <xf numFmtId="176" fontId="14" fillId="28" borderId="0" xfId="1" applyNumberFormat="1" applyFont="1" applyFill="1"/>
    <xf numFmtId="176" fontId="14" fillId="29" borderId="0" xfId="1" applyNumberFormat="1" applyFont="1" applyFill="1"/>
    <xf numFmtId="176" fontId="28" fillId="0" borderId="35" xfId="1" applyNumberFormat="1" applyFont="1" applyBorder="1"/>
    <xf numFmtId="167" fontId="29" fillId="18" borderId="0" xfId="1" applyNumberFormat="1" applyFont="1" applyFill="1" applyAlignment="1">
      <alignment horizontal="right" vertical="center"/>
    </xf>
    <xf numFmtId="167" fontId="48" fillId="0" borderId="0" xfId="1" applyNumberFormat="1" applyFont="1"/>
    <xf numFmtId="167" fontId="14" fillId="0" borderId="0" xfId="1" applyNumberFormat="1" applyFont="1"/>
    <xf numFmtId="167" fontId="29" fillId="19" borderId="0" xfId="1" applyNumberFormat="1" applyFont="1" applyFill="1" applyAlignment="1">
      <alignment horizontal="right" vertical="center"/>
    </xf>
    <xf numFmtId="167" fontId="14" fillId="4" borderId="0" xfId="1" applyNumberFormat="1" applyFont="1" applyFill="1"/>
    <xf numFmtId="167" fontId="0" fillId="0" borderId="0" xfId="1" applyNumberFormat="1" applyFont="1"/>
    <xf numFmtId="167" fontId="49" fillId="0" borderId="0" xfId="1" applyNumberFormat="1" applyFont="1" applyAlignment="1">
      <alignment horizontal="right" vertical="center"/>
    </xf>
    <xf numFmtId="167" fontId="51" fillId="0" borderId="0" xfId="1" applyNumberFormat="1" applyFont="1" applyAlignment="1">
      <alignment horizontal="right" vertical="center"/>
    </xf>
    <xf numFmtId="167" fontId="14" fillId="8" borderId="0" xfId="1" applyNumberFormat="1" applyFont="1" applyFill="1"/>
    <xf numFmtId="167" fontId="48" fillId="2" borderId="0" xfId="1" applyNumberFormat="1" applyFont="1" applyFill="1"/>
    <xf numFmtId="167" fontId="14" fillId="0" borderId="0" xfId="1" applyNumberFormat="1" applyFont="1" applyFill="1"/>
    <xf numFmtId="167" fontId="18" fillId="12" borderId="0" xfId="1" applyNumberFormat="1" applyFont="1" applyFill="1"/>
    <xf numFmtId="167" fontId="14" fillId="0" borderId="0" xfId="1" applyNumberFormat="1" applyFont="1" applyFill="1" applyAlignment="1">
      <alignment horizontal="center"/>
    </xf>
    <xf numFmtId="167" fontId="28" fillId="0" borderId="0" xfId="1" applyNumberFormat="1" applyFont="1" applyFill="1"/>
    <xf numFmtId="167" fontId="14" fillId="0" borderId="0" xfId="1" applyNumberFormat="1" applyFont="1" applyFill="1" applyBorder="1"/>
    <xf numFmtId="167" fontId="36" fillId="0" borderId="0" xfId="1" applyNumberFormat="1" applyFont="1" applyFill="1" applyBorder="1"/>
    <xf numFmtId="176" fontId="14" fillId="25" borderId="5" xfId="1" applyNumberFormat="1" applyFont="1" applyFill="1" applyBorder="1"/>
    <xf numFmtId="176" fontId="14" fillId="25" borderId="8" xfId="1" applyNumberFormat="1" applyFont="1" applyFill="1" applyBorder="1"/>
    <xf numFmtId="10" fontId="33" fillId="0" borderId="0" xfId="0" applyNumberFormat="1" applyFont="1"/>
    <xf numFmtId="167" fontId="28" fillId="25" borderId="0" xfId="1" applyNumberFormat="1" applyFont="1" applyFill="1"/>
    <xf numFmtId="167" fontId="28" fillId="0" borderId="30" xfId="1" applyNumberFormat="1" applyFont="1" applyBorder="1"/>
    <xf numFmtId="167" fontId="14" fillId="28" borderId="0" xfId="1" applyNumberFormat="1" applyFont="1" applyFill="1"/>
    <xf numFmtId="167" fontId="14" fillId="28" borderId="5" xfId="1" applyNumberFormat="1" applyFont="1" applyFill="1" applyBorder="1"/>
    <xf numFmtId="176" fontId="14" fillId="29" borderId="0" xfId="1" applyNumberFormat="1" applyFont="1" applyFill="1" applyBorder="1"/>
    <xf numFmtId="176" fontId="14" fillId="29" borderId="5" xfId="1" applyNumberFormat="1" applyFont="1" applyFill="1" applyBorder="1"/>
    <xf numFmtId="176" fontId="14" fillId="29" borderId="8" xfId="1" applyNumberFormat="1" applyFont="1" applyFill="1" applyBorder="1"/>
    <xf numFmtId="0" fontId="14" fillId="0" borderId="0" xfId="1" applyNumberFormat="1" applyFont="1" applyFill="1" applyBorder="1"/>
    <xf numFmtId="167" fontId="33" fillId="4" borderId="0" xfId="1" applyNumberFormat="1" applyFont="1" applyFill="1"/>
    <xf numFmtId="0" fontId="13" fillId="2" borderId="15" xfId="0" applyFont="1" applyFill="1" applyBorder="1" applyAlignment="1">
      <alignment horizontal="left"/>
    </xf>
    <xf numFmtId="170" fontId="0" fillId="2" borderId="0" xfId="1" applyFont="1" applyFill="1" applyBorder="1"/>
    <xf numFmtId="165" fontId="13" fillId="2" borderId="0" xfId="0" applyNumberFormat="1" applyFont="1" applyFill="1" applyAlignment="1">
      <alignment horizontal="left"/>
    </xf>
    <xf numFmtId="0" fontId="13" fillId="2" borderId="16" xfId="0" applyFont="1" applyFill="1" applyBorder="1" applyAlignment="1">
      <alignment horizontal="left"/>
    </xf>
    <xf numFmtId="176" fontId="19" fillId="0" borderId="0" xfId="1" quotePrefix="1" applyNumberFormat="1" applyFont="1" applyAlignment="1">
      <alignment vertical="center"/>
    </xf>
    <xf numFmtId="170" fontId="1" fillId="0" borderId="0" xfId="1" applyFont="1" applyFill="1" applyBorder="1"/>
    <xf numFmtId="170" fontId="1" fillId="0" borderId="15" xfId="1" applyFont="1" applyFill="1" applyBorder="1"/>
    <xf numFmtId="0" fontId="15" fillId="0" borderId="0" xfId="0" applyFont="1" applyAlignment="1">
      <alignment horizontal="left"/>
    </xf>
    <xf numFmtId="167" fontId="33" fillId="0" borderId="0" xfId="1" applyNumberFormat="1" applyFont="1" applyFill="1"/>
    <xf numFmtId="167" fontId="33" fillId="0" borderId="0" xfId="1" applyNumberFormat="1" applyFont="1"/>
    <xf numFmtId="167" fontId="0" fillId="0" borderId="0" xfId="0" applyNumberFormat="1"/>
    <xf numFmtId="176" fontId="19" fillId="0" borderId="0" xfId="1" quotePrefix="1" applyNumberFormat="1" applyFont="1"/>
    <xf numFmtId="176" fontId="14" fillId="30" borderId="0" xfId="1" applyNumberFormat="1" applyFont="1" applyFill="1"/>
    <xf numFmtId="176" fontId="14" fillId="30" borderId="0" xfId="1" applyNumberFormat="1" applyFont="1" applyFill="1" applyBorder="1"/>
    <xf numFmtId="176" fontId="14" fillId="30" borderId="5" xfId="1" applyNumberFormat="1" applyFont="1" applyFill="1" applyBorder="1"/>
    <xf numFmtId="176" fontId="14" fillId="30" borderId="6" xfId="1" applyNumberFormat="1" applyFont="1" applyFill="1" applyBorder="1"/>
    <xf numFmtId="176" fontId="14" fillId="30" borderId="7" xfId="1" applyNumberFormat="1" applyFont="1" applyFill="1" applyBorder="1"/>
    <xf numFmtId="176" fontId="14" fillId="30" borderId="8" xfId="1" applyNumberFormat="1" applyFont="1" applyFill="1" applyBorder="1"/>
    <xf numFmtId="176" fontId="14" fillId="30" borderId="9" xfId="1" applyNumberFormat="1" applyFont="1" applyFill="1" applyBorder="1"/>
    <xf numFmtId="176" fontId="14" fillId="30" borderId="10" xfId="1" applyNumberFormat="1" applyFont="1" applyFill="1" applyBorder="1"/>
    <xf numFmtId="176" fontId="33" fillId="30" borderId="0" xfId="1" applyNumberFormat="1" applyFont="1" applyFill="1" applyBorder="1"/>
    <xf numFmtId="168" fontId="14" fillId="0" borderId="1" xfId="1" applyNumberFormat="1" applyFont="1" applyFill="1" applyBorder="1" applyAlignment="1">
      <alignment horizontal="left"/>
    </xf>
    <xf numFmtId="168" fontId="28" fillId="0" borderId="12" xfId="1" applyNumberFormat="1" applyFont="1" applyBorder="1" applyAlignment="1">
      <alignment horizontal="left"/>
    </xf>
    <xf numFmtId="168" fontId="14" fillId="0" borderId="1" xfId="1" applyNumberFormat="1" applyFont="1" applyBorder="1" applyAlignment="1">
      <alignment horizontal="left"/>
    </xf>
    <xf numFmtId="168" fontId="14" fillId="7" borderId="1" xfId="1" applyNumberFormat="1" applyFont="1" applyFill="1" applyBorder="1" applyAlignment="1">
      <alignment horizontal="left"/>
    </xf>
    <xf numFmtId="168" fontId="1" fillId="7" borderId="1" xfId="1" applyNumberFormat="1" applyFont="1" applyFill="1" applyBorder="1" applyAlignment="1">
      <alignment horizontal="left"/>
    </xf>
    <xf numFmtId="168" fontId="12" fillId="7" borderId="1" xfId="1" applyNumberFormat="1" applyFont="1" applyFill="1" applyBorder="1" applyAlignment="1">
      <alignment horizontal="left"/>
    </xf>
    <xf numFmtId="168" fontId="28" fillId="2" borderId="27" xfId="0" applyNumberFormat="1" applyFont="1" applyFill="1" applyBorder="1"/>
    <xf numFmtId="168" fontId="28" fillId="2" borderId="36" xfId="0" applyNumberFormat="1" applyFont="1" applyFill="1" applyBorder="1"/>
    <xf numFmtId="167" fontId="14" fillId="0" borderId="0" xfId="37" applyNumberFormat="1" applyFont="1"/>
    <xf numFmtId="167" fontId="14" fillId="0" borderId="30" xfId="37" applyNumberFormat="1" applyFont="1" applyFill="1" applyBorder="1"/>
    <xf numFmtId="167" fontId="14" fillId="0" borderId="0" xfId="0" applyNumberFormat="1" applyFont="1"/>
    <xf numFmtId="167" fontId="14" fillId="0" borderId="30" xfId="0" applyNumberFormat="1" applyFont="1" applyBorder="1"/>
    <xf numFmtId="168" fontId="33" fillId="7" borderId="1" xfId="1" applyNumberFormat="1" applyFont="1" applyFill="1" applyBorder="1" applyAlignment="1">
      <alignment horizontal="left"/>
    </xf>
    <xf numFmtId="168" fontId="14" fillId="0" borderId="12" xfId="1" applyNumberFormat="1" applyFont="1" applyFill="1" applyBorder="1" applyAlignment="1">
      <alignment horizontal="left"/>
    </xf>
    <xf numFmtId="167" fontId="28" fillId="0" borderId="30" xfId="0" applyNumberFormat="1" applyFont="1" applyBorder="1"/>
    <xf numFmtId="167" fontId="37" fillId="25" borderId="0" xfId="1" applyNumberFormat="1" applyFont="1" applyFill="1"/>
    <xf numFmtId="176" fontId="37" fillId="29" borderId="0" xfId="1" applyNumberFormat="1" applyFont="1" applyFill="1" applyBorder="1"/>
    <xf numFmtId="167" fontId="37" fillId="28" borderId="0" xfId="1" applyNumberFormat="1" applyFont="1" applyFill="1"/>
    <xf numFmtId="167" fontId="14" fillId="28" borderId="11" xfId="1" applyNumberFormat="1" applyFont="1" applyFill="1" applyBorder="1"/>
    <xf numFmtId="167" fontId="14" fillId="28" borderId="12" xfId="1" applyNumberFormat="1" applyFont="1" applyFill="1" applyBorder="1"/>
    <xf numFmtId="176" fontId="14" fillId="29" borderId="11" xfId="1" applyNumberFormat="1" applyFont="1" applyFill="1" applyBorder="1"/>
    <xf numFmtId="176" fontId="14" fillId="29" borderId="12" xfId="1" applyNumberFormat="1" applyFont="1" applyFill="1" applyBorder="1"/>
    <xf numFmtId="176" fontId="28" fillId="29" borderId="0" xfId="1" applyNumberFormat="1" applyFont="1" applyFill="1" applyBorder="1"/>
    <xf numFmtId="167" fontId="28" fillId="28" borderId="0" xfId="1" applyNumberFormat="1" applyFont="1" applyFill="1"/>
    <xf numFmtId="167" fontId="14" fillId="25" borderId="11" xfId="1" applyNumberFormat="1" applyFont="1" applyFill="1" applyBorder="1"/>
    <xf numFmtId="167" fontId="14" fillId="25" borderId="12" xfId="1" applyNumberFormat="1" applyFont="1" applyFill="1" applyBorder="1"/>
    <xf numFmtId="167" fontId="28" fillId="0" borderId="0" xfId="0" applyNumberFormat="1" applyFont="1"/>
    <xf numFmtId="178" fontId="14" fillId="0" borderId="30" xfId="0" applyNumberFormat="1" applyFont="1" applyBorder="1"/>
    <xf numFmtId="170" fontId="0" fillId="2" borderId="0" xfId="1" applyFont="1" applyFill="1"/>
    <xf numFmtId="170" fontId="44" fillId="24" borderId="0" xfId="1" applyFont="1" applyFill="1" applyAlignment="1">
      <alignment vertical="center"/>
    </xf>
    <xf numFmtId="170" fontId="31" fillId="0" borderId="0" xfId="1" applyFont="1" applyFill="1" applyBorder="1" applyAlignment="1">
      <alignment horizontal="right" vertical="center"/>
    </xf>
    <xf numFmtId="170" fontId="30" fillId="0" borderId="0" xfId="1" applyFont="1" applyFill="1"/>
    <xf numFmtId="170" fontId="31" fillId="0" borderId="0" xfId="1" applyFont="1" applyFill="1" applyAlignment="1">
      <alignment horizontal="right" vertical="center"/>
    </xf>
    <xf numFmtId="170" fontId="51" fillId="0" borderId="0" xfId="1" applyFont="1" applyFill="1" applyBorder="1"/>
    <xf numFmtId="170" fontId="44" fillId="24" borderId="0" xfId="1" applyFont="1" applyFill="1" applyAlignment="1">
      <alignment horizontal="right" vertical="center"/>
    </xf>
    <xf numFmtId="170" fontId="0" fillId="0" borderId="0" xfId="1" applyFont="1" applyFill="1"/>
    <xf numFmtId="170" fontId="28" fillId="24" borderId="0" xfId="1" applyFont="1" applyFill="1" applyBorder="1"/>
    <xf numFmtId="170" fontId="18" fillId="0" borderId="0" xfId="1" applyFont="1" applyFill="1" applyBorder="1"/>
    <xf numFmtId="170" fontId="28" fillId="0" borderId="0" xfId="1" applyFont="1" applyFill="1" applyBorder="1"/>
    <xf numFmtId="170" fontId="14" fillId="24" borderId="0" xfId="1" applyFont="1" applyFill="1" applyBorder="1"/>
    <xf numFmtId="170" fontId="71" fillId="0" borderId="0" xfId="1" applyFont="1" applyAlignment="1">
      <alignment horizontal="center" vertical="center" wrapText="1"/>
    </xf>
    <xf numFmtId="170" fontId="71" fillId="0" borderId="0" xfId="1" applyFont="1" applyAlignment="1">
      <alignment vertical="center"/>
    </xf>
    <xf numFmtId="0" fontId="71" fillId="0" borderId="0" xfId="0" applyFont="1" applyAlignment="1">
      <alignment vertical="center"/>
    </xf>
    <xf numFmtId="0" fontId="7" fillId="0" borderId="1" xfId="0" applyFont="1" applyBorder="1"/>
    <xf numFmtId="1" fontId="7" fillId="0" borderId="1" xfId="0" applyNumberFormat="1" applyFont="1" applyBorder="1"/>
    <xf numFmtId="49" fontId="7" fillId="0" borderId="1" xfId="0" applyNumberFormat="1" applyFont="1" applyBorder="1" applyAlignment="1">
      <alignment horizontal="center"/>
    </xf>
    <xf numFmtId="170" fontId="7" fillId="0" borderId="1" xfId="1" applyFont="1" applyFill="1" applyBorder="1"/>
    <xf numFmtId="176" fontId="7" fillId="0" borderId="1" xfId="1" applyNumberFormat="1" applyFont="1" applyFill="1" applyBorder="1"/>
    <xf numFmtId="170" fontId="7" fillId="0" borderId="0" xfId="1" applyFont="1" applyFill="1"/>
    <xf numFmtId="0" fontId="7" fillId="0" borderId="0" xfId="0" applyFont="1"/>
    <xf numFmtId="179" fontId="7" fillId="0" borderId="1" xfId="1" applyNumberFormat="1" applyFont="1" applyFill="1" applyBorder="1"/>
    <xf numFmtId="0" fontId="72" fillId="0" borderId="1" xfId="0" applyFont="1" applyBorder="1"/>
    <xf numFmtId="49" fontId="72" fillId="0" borderId="1" xfId="0" applyNumberFormat="1" applyFont="1" applyBorder="1" applyAlignment="1">
      <alignment horizontal="center"/>
    </xf>
    <xf numFmtId="170" fontId="72" fillId="0" borderId="1" xfId="1" applyFont="1" applyFill="1" applyBorder="1"/>
    <xf numFmtId="176" fontId="72" fillId="0" borderId="1" xfId="1" applyNumberFormat="1" applyFont="1" applyFill="1" applyBorder="1"/>
    <xf numFmtId="170" fontId="26" fillId="0" borderId="0" xfId="1" applyFont="1" applyFill="1"/>
    <xf numFmtId="170" fontId="73" fillId="0" borderId="0" xfId="1" applyFont="1" applyFill="1"/>
    <xf numFmtId="0" fontId="73" fillId="0" borderId="0" xfId="0" applyFont="1"/>
    <xf numFmtId="170" fontId="27" fillId="0" borderId="35" xfId="0" applyNumberFormat="1" applyFont="1" applyBorder="1"/>
    <xf numFmtId="176" fontId="27" fillId="0" borderId="35" xfId="1" applyNumberFormat="1" applyFont="1" applyBorder="1"/>
    <xf numFmtId="176" fontId="26" fillId="0" borderId="0" xfId="1" applyNumberFormat="1" applyFont="1"/>
    <xf numFmtId="176" fontId="26" fillId="0" borderId="30" xfId="1" applyNumberFormat="1" applyFont="1" applyBorder="1"/>
    <xf numFmtId="167" fontId="28" fillId="8" borderId="30" xfId="1" applyNumberFormat="1" applyFont="1" applyFill="1" applyBorder="1"/>
    <xf numFmtId="176" fontId="28" fillId="8" borderId="35" xfId="1" applyNumberFormat="1" applyFont="1" applyFill="1" applyBorder="1"/>
    <xf numFmtId="167" fontId="57" fillId="8" borderId="0" xfId="1" applyNumberFormat="1" applyFont="1" applyFill="1" applyAlignment="1">
      <alignment vertical="center"/>
    </xf>
    <xf numFmtId="170" fontId="12" fillId="8" borderId="0" xfId="1" applyFont="1" applyFill="1"/>
    <xf numFmtId="167" fontId="31" fillId="8" borderId="5" xfId="1" applyNumberFormat="1" applyFont="1" applyFill="1" applyBorder="1" applyAlignment="1">
      <alignment vertical="center"/>
    </xf>
    <xf numFmtId="170" fontId="0" fillId="8" borderId="6" xfId="1" applyFont="1" applyFill="1" applyBorder="1"/>
    <xf numFmtId="167" fontId="31" fillId="8" borderId="29" xfId="1" applyNumberFormat="1" applyFont="1" applyFill="1" applyBorder="1" applyAlignment="1">
      <alignment vertical="center"/>
    </xf>
    <xf numFmtId="170" fontId="0" fillId="8" borderId="0" xfId="1" applyFont="1" applyFill="1" applyBorder="1"/>
    <xf numFmtId="167" fontId="31" fillId="8" borderId="8" xfId="1" applyNumberFormat="1" applyFont="1" applyFill="1" applyBorder="1" applyAlignment="1">
      <alignment vertical="center"/>
    </xf>
    <xf numFmtId="170" fontId="0" fillId="8" borderId="9" xfId="1" applyFont="1" applyFill="1" applyBorder="1"/>
    <xf numFmtId="167" fontId="28" fillId="8" borderId="0" xfId="1" applyNumberFormat="1" applyFont="1" applyFill="1"/>
    <xf numFmtId="167" fontId="75" fillId="19" borderId="0" xfId="1" applyNumberFormat="1" applyFont="1" applyFill="1" applyAlignment="1">
      <alignment horizontal="right" vertical="center"/>
    </xf>
    <xf numFmtId="167" fontId="28" fillId="8" borderId="0" xfId="1" applyNumberFormat="1" applyFont="1" applyFill="1" applyBorder="1"/>
    <xf numFmtId="176" fontId="57" fillId="8" borderId="30" xfId="1" applyNumberFormat="1" applyFont="1" applyFill="1" applyBorder="1" applyAlignment="1">
      <alignment vertical="center"/>
    </xf>
    <xf numFmtId="167" fontId="31" fillId="0" borderId="0" xfId="1" applyNumberFormat="1" applyFont="1" applyFill="1" applyAlignment="1">
      <alignment vertical="center"/>
    </xf>
    <xf numFmtId="176" fontId="26" fillId="6" borderId="30" xfId="1" applyNumberFormat="1" applyFont="1" applyFill="1" applyBorder="1"/>
    <xf numFmtId="176" fontId="72" fillId="6" borderId="30" xfId="1" applyNumberFormat="1" applyFont="1" applyFill="1" applyBorder="1"/>
    <xf numFmtId="176" fontId="74" fillId="6" borderId="35" xfId="1" applyNumberFormat="1" applyFont="1" applyFill="1" applyBorder="1"/>
    <xf numFmtId="2" fontId="68" fillId="8" borderId="1" xfId="0" applyNumberFormat="1" applyFont="1" applyFill="1" applyBorder="1" applyAlignment="1">
      <alignment vertical="center"/>
    </xf>
    <xf numFmtId="2" fontId="68" fillId="8" borderId="1" xfId="0" applyNumberFormat="1" applyFont="1" applyFill="1" applyBorder="1" applyAlignment="1">
      <alignment horizontal="center" vertical="center" wrapText="1"/>
    </xf>
    <xf numFmtId="0" fontId="51" fillId="0" borderId="0" xfId="0" applyFont="1" applyAlignment="1">
      <alignment vertical="center"/>
    </xf>
    <xf numFmtId="0" fontId="77" fillId="0" borderId="0" xfId="0" applyFont="1"/>
    <xf numFmtId="170" fontId="51" fillId="0" borderId="0" xfId="1" applyFont="1" applyFill="1" applyBorder="1" applyAlignment="1">
      <alignment horizontal="right" vertical="center"/>
    </xf>
    <xf numFmtId="10" fontId="14" fillId="0" borderId="0" xfId="0" applyNumberFormat="1" applyFont="1"/>
    <xf numFmtId="0" fontId="76" fillId="0" borderId="1" xfId="0" applyFont="1" applyBorder="1"/>
    <xf numFmtId="2" fontId="76" fillId="0" borderId="1" xfId="0" applyNumberFormat="1" applyFont="1" applyBorder="1"/>
    <xf numFmtId="170" fontId="76" fillId="0" borderId="1" xfId="1" applyFont="1" applyBorder="1"/>
    <xf numFmtId="170" fontId="78" fillId="0" borderId="1" xfId="1" applyFont="1" applyBorder="1"/>
    <xf numFmtId="2" fontId="78" fillId="0" borderId="0" xfId="0" applyNumberFormat="1" applyFont="1"/>
    <xf numFmtId="0" fontId="76" fillId="0" borderId="0" xfId="0" applyFont="1"/>
    <xf numFmtId="2" fontId="76" fillId="0" borderId="0" xfId="0" applyNumberFormat="1" applyFont="1"/>
    <xf numFmtId="170" fontId="76" fillId="0" borderId="0" xfId="1" applyFont="1"/>
    <xf numFmtId="170" fontId="80" fillId="0" borderId="0" xfId="1" applyFont="1"/>
    <xf numFmtId="0" fontId="78" fillId="0" borderId="1" xfId="0" applyFont="1" applyBorder="1" applyAlignment="1">
      <alignment horizontal="center"/>
    </xf>
    <xf numFmtId="0" fontId="80" fillId="0" borderId="0" xfId="0" applyFont="1"/>
    <xf numFmtId="176" fontId="25" fillId="4" borderId="11" xfId="1" applyNumberFormat="1" applyFont="1" applyFill="1" applyBorder="1" applyAlignment="1">
      <alignment horizontal="center" vertical="center" wrapText="1"/>
    </xf>
    <xf numFmtId="176" fontId="27" fillId="4" borderId="11" xfId="1" applyNumberFormat="1" applyFont="1" applyFill="1" applyBorder="1" applyAlignment="1">
      <alignment horizontal="center" vertical="center" wrapText="1"/>
    </xf>
    <xf numFmtId="0" fontId="27" fillId="4" borderId="11" xfId="0" applyFont="1" applyFill="1" applyBorder="1" applyAlignment="1">
      <alignment horizontal="left" vertical="center"/>
    </xf>
    <xf numFmtId="1" fontId="27" fillId="4" borderId="11" xfId="0" applyNumberFormat="1" applyFont="1" applyFill="1" applyBorder="1" applyAlignment="1">
      <alignment horizontal="left" vertical="center"/>
    </xf>
    <xf numFmtId="0" fontId="27" fillId="4" borderId="11" xfId="0" applyFont="1" applyFill="1" applyBorder="1" applyAlignment="1">
      <alignment horizontal="left" textRotation="90"/>
    </xf>
    <xf numFmtId="172" fontId="27" fillId="4" borderId="11" xfId="0" applyNumberFormat="1" applyFont="1" applyFill="1" applyBorder="1" applyAlignment="1">
      <alignment horizontal="left" textRotation="90"/>
    </xf>
    <xf numFmtId="173" fontId="27" fillId="4" borderId="11" xfId="0" applyNumberFormat="1" applyFont="1" applyFill="1" applyBorder="1" applyAlignment="1">
      <alignment horizontal="left" textRotation="90"/>
    </xf>
    <xf numFmtId="0" fontId="25" fillId="4" borderId="11" xfId="0" applyFont="1" applyFill="1" applyBorder="1" applyAlignment="1">
      <alignment horizontal="left" vertical="center"/>
    </xf>
    <xf numFmtId="179" fontId="27" fillId="4" borderId="11" xfId="1" applyNumberFormat="1" applyFont="1" applyFill="1" applyBorder="1" applyAlignment="1">
      <alignment horizontal="left" vertical="center" wrapText="1"/>
    </xf>
    <xf numFmtId="2" fontId="76" fillId="0" borderId="0" xfId="0" applyNumberFormat="1" applyFont="1" applyAlignment="1">
      <alignment horizontal="center"/>
    </xf>
    <xf numFmtId="1" fontId="76" fillId="0" borderId="0" xfId="0" applyNumberFormat="1" applyFont="1" applyAlignment="1">
      <alignment horizontal="center"/>
    </xf>
    <xf numFmtId="3" fontId="80" fillId="0" borderId="0" xfId="0" applyNumberFormat="1" applyFont="1"/>
    <xf numFmtId="4" fontId="82" fillId="12" borderId="1" xfId="27" applyNumberFormat="1" applyFont="1" applyBorder="1" applyAlignment="1">
      <alignment vertical="center"/>
    </xf>
    <xf numFmtId="17" fontId="82" fillId="12" borderId="1" xfId="27" quotePrefix="1" applyNumberFormat="1" applyFont="1" applyBorder="1" applyAlignment="1">
      <alignment horizontal="center" vertical="center"/>
    </xf>
    <xf numFmtId="4" fontId="81" fillId="23" borderId="11" xfId="27" applyNumberFormat="1" applyFont="1" applyFill="1" applyBorder="1"/>
    <xf numFmtId="4" fontId="76" fillId="0" borderId="0" xfId="0" applyNumberFormat="1" applyFont="1"/>
    <xf numFmtId="4" fontId="82" fillId="13" borderId="1" xfId="28" applyNumberFormat="1" applyFont="1" applyBorder="1"/>
    <xf numFmtId="3" fontId="76" fillId="0" borderId="1" xfId="0" applyNumberFormat="1" applyFont="1" applyBorder="1"/>
    <xf numFmtId="4" fontId="76" fillId="0" borderId="1" xfId="0" applyNumberFormat="1" applyFont="1" applyBorder="1"/>
    <xf numFmtId="17" fontId="82" fillId="12" borderId="1" xfId="27" quotePrefix="1" applyNumberFormat="1" applyFont="1" applyBorder="1"/>
    <xf numFmtId="180" fontId="76" fillId="0" borderId="1" xfId="0" applyNumberFormat="1" applyFont="1" applyBorder="1"/>
    <xf numFmtId="174" fontId="78" fillId="31" borderId="1" xfId="0" applyNumberFormat="1" applyFont="1" applyFill="1" applyBorder="1"/>
    <xf numFmtId="174" fontId="76" fillId="31" borderId="1" xfId="0" applyNumberFormat="1" applyFont="1" applyFill="1" applyBorder="1"/>
    <xf numFmtId="4" fontId="68" fillId="31" borderId="1" xfId="28" applyNumberFormat="1" applyFont="1" applyFill="1" applyBorder="1"/>
    <xf numFmtId="1" fontId="72" fillId="0" borderId="1" xfId="0" applyNumberFormat="1" applyFont="1" applyBorder="1"/>
    <xf numFmtId="0" fontId="73" fillId="0" borderId="1" xfId="0" applyFont="1" applyBorder="1"/>
    <xf numFmtId="1" fontId="73" fillId="0" borderId="1" xfId="0" applyNumberFormat="1" applyFont="1" applyBorder="1"/>
    <xf numFmtId="49" fontId="73" fillId="0" borderId="1" xfId="0" applyNumberFormat="1" applyFont="1" applyBorder="1" applyAlignment="1">
      <alignment horizontal="center"/>
    </xf>
    <xf numFmtId="176" fontId="73" fillId="0" borderId="1" xfId="1" applyNumberFormat="1" applyFont="1" applyFill="1" applyBorder="1"/>
    <xf numFmtId="176" fontId="7" fillId="6" borderId="1" xfId="1" applyNumberFormat="1" applyFont="1" applyFill="1" applyBorder="1"/>
    <xf numFmtId="0" fontId="7" fillId="6" borderId="1" xfId="0" applyFont="1" applyFill="1" applyBorder="1"/>
    <xf numFmtId="1" fontId="7" fillId="6" borderId="1" xfId="0" applyNumberFormat="1" applyFont="1" applyFill="1" applyBorder="1"/>
    <xf numFmtId="49" fontId="7" fillId="6" borderId="1" xfId="0" applyNumberFormat="1" applyFont="1" applyFill="1" applyBorder="1" applyAlignment="1">
      <alignment horizontal="center"/>
    </xf>
    <xf numFmtId="170" fontId="7" fillId="6" borderId="1" xfId="1" applyFont="1" applyFill="1" applyBorder="1"/>
    <xf numFmtId="170" fontId="7" fillId="6" borderId="0" xfId="1" applyFont="1" applyFill="1"/>
    <xf numFmtId="0" fontId="7" fillId="6" borderId="0" xfId="0" applyFont="1" applyFill="1"/>
    <xf numFmtId="172" fontId="13" fillId="28" borderId="15" xfId="0" applyNumberFormat="1" applyFont="1" applyFill="1" applyBorder="1" applyAlignment="1">
      <alignment horizontal="left"/>
    </xf>
    <xf numFmtId="172" fontId="13" fillId="28" borderId="0" xfId="0" applyNumberFormat="1" applyFont="1" applyFill="1" applyAlignment="1">
      <alignment horizontal="left"/>
    </xf>
    <xf numFmtId="1" fontId="13" fillId="28" borderId="0" xfId="0" applyNumberFormat="1" applyFont="1" applyFill="1" applyAlignment="1">
      <alignment horizontal="left"/>
    </xf>
    <xf numFmtId="49" fontId="0" fillId="28" borderId="0" xfId="0" applyNumberFormat="1" applyFill="1" applyAlignment="1">
      <alignment horizontal="center"/>
    </xf>
    <xf numFmtId="1" fontId="13" fillId="0" borderId="0" xfId="0" applyNumberFormat="1" applyFont="1" applyAlignment="1">
      <alignment horizontal="center"/>
    </xf>
    <xf numFmtId="2" fontId="0" fillId="2" borderId="0" xfId="38" applyNumberFormat="1" applyFont="1" applyFill="1"/>
    <xf numFmtId="2" fontId="44" fillId="24" borderId="0" xfId="38" applyNumberFormat="1" applyFont="1" applyFill="1" applyAlignment="1">
      <alignment vertical="center"/>
    </xf>
    <xf numFmtId="2" fontId="51" fillId="0" borderId="0" xfId="38" applyNumberFormat="1" applyFont="1" applyFill="1" applyBorder="1" applyAlignment="1">
      <alignment horizontal="right" vertical="center"/>
    </xf>
    <xf numFmtId="2" fontId="31" fillId="0" borderId="0" xfId="38" applyNumberFormat="1" applyFont="1" applyFill="1" applyBorder="1" applyAlignment="1">
      <alignment horizontal="right" vertical="center"/>
    </xf>
    <xf numFmtId="2" fontId="30" fillId="0" borderId="0" xfId="38" applyNumberFormat="1" applyFont="1" applyFill="1"/>
    <xf numFmtId="2" fontId="0" fillId="0" borderId="0" xfId="38" applyNumberFormat="1" applyFont="1" applyBorder="1"/>
    <xf numFmtId="2" fontId="31" fillId="0" borderId="0" xfId="38" applyNumberFormat="1" applyFont="1" applyFill="1" applyAlignment="1">
      <alignment horizontal="right" vertical="center"/>
    </xf>
    <xf numFmtId="2" fontId="0" fillId="0" borderId="0" xfId="38" applyNumberFormat="1" applyFont="1"/>
    <xf numFmtId="2" fontId="51" fillId="0" borderId="0" xfId="38" applyNumberFormat="1" applyFont="1" applyFill="1" applyBorder="1"/>
    <xf numFmtId="2" fontId="0" fillId="0" borderId="0" xfId="38" applyNumberFormat="1" applyFont="1" applyFill="1" applyBorder="1"/>
    <xf numFmtId="2" fontId="0" fillId="0" borderId="0" xfId="38" applyNumberFormat="1" applyFont="1" applyFill="1"/>
    <xf numFmtId="174" fontId="76" fillId="0" borderId="0" xfId="0" applyNumberFormat="1" applyFont="1"/>
    <xf numFmtId="168" fontId="0" fillId="0" borderId="0" xfId="0" applyNumberFormat="1"/>
    <xf numFmtId="167" fontId="77" fillId="0" borderId="0" xfId="1" applyNumberFormat="1" applyFont="1"/>
    <xf numFmtId="176" fontId="0" fillId="0" borderId="0" xfId="0" applyNumberFormat="1"/>
    <xf numFmtId="0" fontId="30" fillId="6" borderId="0" xfId="0" applyFont="1" applyFill="1"/>
    <xf numFmtId="181" fontId="0" fillId="0" borderId="0" xfId="0" applyNumberFormat="1"/>
    <xf numFmtId="0" fontId="1" fillId="0" borderId="0" xfId="0" applyFont="1" applyAlignment="1">
      <alignment horizontal="center" vertical="center" wrapText="1"/>
    </xf>
    <xf numFmtId="0" fontId="84" fillId="0" borderId="0" xfId="0" applyFont="1" applyAlignment="1">
      <alignment horizontal="right" vertical="center"/>
    </xf>
    <xf numFmtId="0" fontId="0" fillId="24" borderId="0" xfId="0" applyFill="1"/>
    <xf numFmtId="170" fontId="0" fillId="24" borderId="0" xfId="1" applyFont="1" applyFill="1" applyBorder="1"/>
    <xf numFmtId="0" fontId="83" fillId="24" borderId="0" xfId="0" applyFont="1" applyFill="1" applyAlignment="1">
      <alignment horizontal="center" vertical="center" wrapText="1"/>
    </xf>
    <xf numFmtId="170" fontId="0" fillId="24" borderId="0" xfId="1" applyFont="1" applyFill="1"/>
    <xf numFmtId="0" fontId="14" fillId="24" borderId="0" xfId="0" applyFont="1" applyFill="1"/>
    <xf numFmtId="2" fontId="14" fillId="24" borderId="0" xfId="38" applyNumberFormat="1" applyFont="1" applyFill="1" applyBorder="1"/>
    <xf numFmtId="0" fontId="28" fillId="24" borderId="0" xfId="0" applyFont="1" applyFill="1" applyAlignment="1">
      <alignment horizontal="center" vertical="center" wrapText="1"/>
    </xf>
    <xf numFmtId="2" fontId="1" fillId="0" borderId="0" xfId="0" applyNumberFormat="1" applyFont="1" applyAlignment="1">
      <alignment horizontal="right" vertical="center" wrapText="1"/>
    </xf>
    <xf numFmtId="2" fontId="84" fillId="0" borderId="0" xfId="0" applyNumberFormat="1" applyFont="1" applyAlignment="1">
      <alignment horizontal="right" vertical="center"/>
    </xf>
    <xf numFmtId="0" fontId="28" fillId="24" borderId="0" xfId="0" applyFont="1" applyFill="1" applyAlignment="1">
      <alignment horizontal="left" vertical="center" wrapText="1"/>
    </xf>
    <xf numFmtId="0" fontId="84" fillId="24" borderId="0" xfId="0" applyFont="1" applyFill="1" applyAlignment="1">
      <alignment vertical="center"/>
    </xf>
    <xf numFmtId="0" fontId="83" fillId="24" borderId="0" xfId="0" applyFont="1" applyFill="1" applyAlignment="1">
      <alignment horizontal="right" vertical="center" wrapText="1"/>
    </xf>
    <xf numFmtId="0" fontId="14" fillId="0" borderId="0" xfId="0" applyFont="1" applyAlignment="1">
      <alignment vertical="center" wrapText="1"/>
    </xf>
    <xf numFmtId="0" fontId="14" fillId="0" borderId="0" xfId="0" applyFont="1" applyAlignment="1">
      <alignment horizontal="left" vertical="center" wrapText="1"/>
    </xf>
    <xf numFmtId="10" fontId="14" fillId="0" borderId="0" xfId="38" applyNumberFormat="1" applyFont="1"/>
    <xf numFmtId="2" fontId="0" fillId="24" borderId="0" xfId="0" applyNumberFormat="1" applyFill="1"/>
    <xf numFmtId="10" fontId="12" fillId="0" borderId="0" xfId="0" applyNumberFormat="1" applyFont="1"/>
    <xf numFmtId="170" fontId="85" fillId="0" borderId="1" xfId="1" applyFont="1" applyBorder="1"/>
    <xf numFmtId="167" fontId="75" fillId="14" borderId="0" xfId="1" applyNumberFormat="1" applyFont="1" applyFill="1" applyAlignment="1">
      <alignment horizontal="right" vertical="center"/>
    </xf>
    <xf numFmtId="0" fontId="7" fillId="2" borderId="0" xfId="0" applyFont="1" applyFill="1" applyAlignment="1">
      <alignment horizontal="centerContinuous"/>
    </xf>
    <xf numFmtId="170" fontId="7" fillId="2" borderId="0" xfId="1" applyFont="1" applyFill="1" applyAlignment="1">
      <alignment horizontal="centerContinuous"/>
    </xf>
    <xf numFmtId="2" fontId="7" fillId="2" borderId="0" xfId="38" applyNumberFormat="1" applyFont="1" applyFill="1" applyAlignment="1">
      <alignment horizontal="centerContinuous"/>
    </xf>
    <xf numFmtId="0" fontId="43" fillId="2" borderId="0" xfId="0" applyFont="1" applyFill="1" applyAlignment="1">
      <alignment horizontal="centerContinuous" wrapText="1"/>
    </xf>
    <xf numFmtId="170" fontId="0" fillId="2" borderId="0" xfId="1" applyFont="1" applyFill="1" applyAlignment="1">
      <alignment horizontal="centerContinuous"/>
    </xf>
    <xf numFmtId="0" fontId="0" fillId="0" borderId="0" xfId="0" applyAlignment="1">
      <alignment horizontal="centerContinuous"/>
    </xf>
    <xf numFmtId="170" fontId="0" fillId="0" borderId="0" xfId="1" applyFont="1" applyAlignment="1">
      <alignment horizontal="centerContinuous"/>
    </xf>
    <xf numFmtId="0" fontId="86" fillId="2" borderId="0" xfId="0" applyFont="1" applyFill="1" applyAlignment="1">
      <alignment horizontal="centerContinuous" wrapText="1"/>
    </xf>
    <xf numFmtId="0" fontId="16" fillId="0" borderId="14" xfId="0" applyFont="1" applyBorder="1" applyAlignment="1">
      <alignment vertical="center" wrapText="1"/>
    </xf>
    <xf numFmtId="0" fontId="66" fillId="0" borderId="20" xfId="0" applyFont="1" applyBorder="1" applyAlignment="1">
      <alignment horizontal="center" vertical="center" wrapText="1"/>
    </xf>
    <xf numFmtId="0" fontId="37" fillId="0" borderId="16" xfId="0" applyFont="1" applyBorder="1" applyAlignment="1">
      <alignment horizontal="left"/>
    </xf>
    <xf numFmtId="0" fontId="37" fillId="0" borderId="23" xfId="0" applyFont="1" applyBorder="1" applyAlignment="1">
      <alignment horizontal="left"/>
    </xf>
    <xf numFmtId="167" fontId="14" fillId="6" borderId="0" xfId="1" applyNumberFormat="1" applyFont="1" applyFill="1"/>
    <xf numFmtId="0" fontId="12" fillId="0" borderId="15" xfId="0" applyFont="1" applyBorder="1"/>
    <xf numFmtId="0" fontId="14" fillId="0" borderId="15" xfId="0" applyFont="1" applyBorder="1"/>
    <xf numFmtId="170" fontId="12" fillId="0" borderId="0" xfId="1" applyFont="1" applyBorder="1"/>
    <xf numFmtId="0" fontId="0" fillId="0" borderId="18" xfId="0" applyBorder="1"/>
    <xf numFmtId="170" fontId="28" fillId="24" borderId="0" xfId="1" applyFont="1" applyFill="1"/>
    <xf numFmtId="10" fontId="28" fillId="24" borderId="0" xfId="27" applyNumberFormat="1" applyFont="1" applyFill="1"/>
    <xf numFmtId="170" fontId="0" fillId="8" borderId="29" xfId="1" applyFont="1" applyFill="1" applyBorder="1"/>
    <xf numFmtId="170" fontId="0" fillId="8" borderId="31" xfId="1" applyFont="1" applyFill="1" applyBorder="1"/>
    <xf numFmtId="170" fontId="0" fillId="8" borderId="8" xfId="1" applyFont="1" applyFill="1" applyBorder="1"/>
    <xf numFmtId="170" fontId="0" fillId="8" borderId="10" xfId="1" applyFont="1" applyFill="1" applyBorder="1"/>
    <xf numFmtId="176" fontId="28" fillId="28" borderId="35" xfId="1" applyNumberFormat="1" applyFont="1" applyFill="1" applyBorder="1"/>
    <xf numFmtId="167" fontId="28" fillId="28" borderId="35" xfId="1" applyNumberFormat="1" applyFont="1" applyFill="1" applyBorder="1"/>
    <xf numFmtId="167" fontId="57" fillId="8" borderId="35" xfId="1" applyNumberFormat="1" applyFont="1" applyFill="1" applyBorder="1" applyAlignment="1">
      <alignment vertical="center"/>
    </xf>
    <xf numFmtId="170" fontId="12" fillId="8" borderId="35" xfId="1" applyFont="1" applyFill="1" applyBorder="1"/>
    <xf numFmtId="167" fontId="28" fillId="8" borderId="35" xfId="1" applyNumberFormat="1" applyFont="1" applyFill="1" applyBorder="1"/>
    <xf numFmtId="176" fontId="28" fillId="29" borderId="35" xfId="1" applyNumberFormat="1" applyFont="1" applyFill="1" applyBorder="1"/>
    <xf numFmtId="167" fontId="28" fillId="8" borderId="31" xfId="1" applyNumberFormat="1" applyFont="1" applyFill="1" applyBorder="1"/>
    <xf numFmtId="167" fontId="28" fillId="8" borderId="10" xfId="1" applyNumberFormat="1" applyFont="1" applyFill="1" applyBorder="1"/>
    <xf numFmtId="167" fontId="28" fillId="28" borderId="12" xfId="1" applyNumberFormat="1" applyFont="1" applyFill="1" applyBorder="1"/>
    <xf numFmtId="176" fontId="28" fillId="29" borderId="12" xfId="1" applyNumberFormat="1" applyFont="1" applyFill="1" applyBorder="1"/>
    <xf numFmtId="167" fontId="14" fillId="28" borderId="0" xfId="1" applyNumberFormat="1" applyFont="1" applyFill="1" applyBorder="1"/>
    <xf numFmtId="176" fontId="14" fillId="28" borderId="29" xfId="1" applyNumberFormat="1" applyFont="1" applyFill="1" applyBorder="1"/>
    <xf numFmtId="176" fontId="14" fillId="28" borderId="8" xfId="1" applyNumberFormat="1" applyFont="1" applyFill="1" applyBorder="1"/>
    <xf numFmtId="167" fontId="14" fillId="28" borderId="9" xfId="1" applyNumberFormat="1" applyFont="1" applyFill="1" applyBorder="1"/>
    <xf numFmtId="176" fontId="14" fillId="29" borderId="29" xfId="1" applyNumberFormat="1" applyFont="1" applyFill="1" applyBorder="1"/>
    <xf numFmtId="176" fontId="14" fillId="29" borderId="9" xfId="1" applyNumberFormat="1" applyFont="1" applyFill="1" applyBorder="1"/>
    <xf numFmtId="167" fontId="28" fillId="28" borderId="13" xfId="1" applyNumberFormat="1" applyFont="1" applyFill="1" applyBorder="1"/>
    <xf numFmtId="176" fontId="28" fillId="29" borderId="13" xfId="1" applyNumberFormat="1" applyFont="1" applyFill="1" applyBorder="1"/>
    <xf numFmtId="167" fontId="14" fillId="2" borderId="0" xfId="1" applyNumberFormat="1" applyFont="1" applyFill="1"/>
    <xf numFmtId="176" fontId="0" fillId="2" borderId="0" xfId="1" applyNumberFormat="1" applyFont="1" applyFill="1"/>
    <xf numFmtId="176" fontId="33" fillId="2" borderId="0" xfId="1" applyNumberFormat="1" applyFont="1" applyFill="1"/>
    <xf numFmtId="176" fontId="19" fillId="2" borderId="0" xfId="1" quotePrefix="1" applyNumberFormat="1" applyFont="1" applyFill="1"/>
    <xf numFmtId="176" fontId="31" fillId="2" borderId="0" xfId="1" applyNumberFormat="1" applyFont="1" applyFill="1" applyAlignment="1">
      <alignment vertical="center"/>
    </xf>
    <xf numFmtId="176" fontId="49" fillId="2" borderId="0" xfId="1" applyNumberFormat="1" applyFont="1" applyFill="1" applyAlignment="1">
      <alignment horizontal="right" vertical="center"/>
    </xf>
    <xf numFmtId="176" fontId="14" fillId="2" borderId="0" xfId="1" applyNumberFormat="1" applyFont="1" applyFill="1" applyBorder="1"/>
    <xf numFmtId="176" fontId="36" fillId="2" borderId="0" xfId="1" applyNumberFormat="1" applyFont="1" applyFill="1" applyBorder="1"/>
    <xf numFmtId="167" fontId="14" fillId="2" borderId="0" xfId="1" applyNumberFormat="1" applyFont="1" applyFill="1" applyAlignment="1">
      <alignment horizontal="center"/>
    </xf>
    <xf numFmtId="176" fontId="19" fillId="2" borderId="0" xfId="1" quotePrefix="1" applyNumberFormat="1" applyFont="1" applyFill="1" applyAlignment="1">
      <alignment vertical="center"/>
    </xf>
    <xf numFmtId="167" fontId="28" fillId="2" borderId="0" xfId="1" applyNumberFormat="1" applyFont="1" applyFill="1"/>
    <xf numFmtId="167" fontId="14" fillId="2" borderId="0" xfId="1" applyNumberFormat="1" applyFont="1" applyFill="1" applyBorder="1"/>
    <xf numFmtId="167" fontId="36" fillId="2" borderId="0" xfId="1" applyNumberFormat="1" applyFont="1" applyFill="1" applyBorder="1"/>
    <xf numFmtId="176" fontId="14" fillId="29" borderId="31" xfId="1" applyNumberFormat="1" applyFont="1" applyFill="1" applyBorder="1"/>
    <xf numFmtId="176" fontId="14" fillId="29" borderId="10" xfId="1" applyNumberFormat="1" applyFont="1" applyFill="1" applyBorder="1"/>
    <xf numFmtId="167" fontId="28" fillId="0" borderId="0" xfId="1" applyNumberFormat="1" applyFont="1"/>
    <xf numFmtId="170" fontId="0" fillId="8" borderId="0" xfId="1" applyFont="1" applyFill="1"/>
    <xf numFmtId="167" fontId="36" fillId="0" borderId="0" xfId="1" applyNumberFormat="1" applyFont="1"/>
    <xf numFmtId="167" fontId="31" fillId="0" borderId="0" xfId="1" applyNumberFormat="1" applyFont="1" applyAlignment="1">
      <alignment vertical="center"/>
    </xf>
    <xf numFmtId="176" fontId="36" fillId="0" borderId="0" xfId="1" applyNumberFormat="1" applyFont="1"/>
    <xf numFmtId="176" fontId="14" fillId="0" borderId="0" xfId="1" applyNumberFormat="1" applyFont="1" applyAlignment="1">
      <alignment horizontal="center"/>
    </xf>
    <xf numFmtId="176" fontId="28" fillId="29" borderId="0" xfId="1" applyNumberFormat="1" applyFont="1" applyFill="1"/>
    <xf numFmtId="176" fontId="37" fillId="29" borderId="0" xfId="1" applyNumberFormat="1" applyFont="1" applyFill="1"/>
    <xf numFmtId="176" fontId="33" fillId="30" borderId="0" xfId="1" applyNumberFormat="1" applyFont="1" applyFill="1"/>
    <xf numFmtId="0" fontId="28" fillId="32" borderId="16" xfId="0" applyFont="1" applyFill="1" applyBorder="1" applyAlignment="1">
      <alignment horizontal="left" vertical="top"/>
    </xf>
    <xf numFmtId="0" fontId="14" fillId="32" borderId="23" xfId="0" applyFont="1" applyFill="1" applyBorder="1" applyAlignment="1">
      <alignment horizontal="left" vertical="top"/>
    </xf>
    <xf numFmtId="170" fontId="0" fillId="32" borderId="0" xfId="1" applyFont="1" applyFill="1" applyBorder="1"/>
    <xf numFmtId="170" fontId="0" fillId="0" borderId="18" xfId="1" applyFont="1" applyFill="1" applyBorder="1"/>
    <xf numFmtId="168" fontId="14" fillId="0" borderId="2" xfId="1" applyNumberFormat="1" applyFont="1" applyFill="1" applyBorder="1" applyAlignment="1">
      <alignment horizontal="left"/>
    </xf>
    <xf numFmtId="168" fontId="12" fillId="0" borderId="39" xfId="0" applyNumberFormat="1" applyFont="1" applyBorder="1"/>
    <xf numFmtId="0" fontId="89" fillId="0" borderId="16" xfId="0" applyFont="1" applyBorder="1" applyAlignment="1">
      <alignment horizontal="left"/>
    </xf>
    <xf numFmtId="0" fontId="89" fillId="0" borderId="19" xfId="0" applyFont="1" applyBorder="1" applyAlignment="1">
      <alignment horizontal="left"/>
    </xf>
    <xf numFmtId="168" fontId="28" fillId="0" borderId="2" xfId="1" applyNumberFormat="1" applyFont="1" applyBorder="1" applyAlignment="1">
      <alignment horizontal="left"/>
    </xf>
    <xf numFmtId="168" fontId="14" fillId="7" borderId="2" xfId="1" applyNumberFormat="1" applyFont="1" applyFill="1" applyBorder="1" applyAlignment="1">
      <alignment horizontal="left"/>
    </xf>
    <xf numFmtId="168" fontId="28" fillId="2" borderId="25" xfId="0" applyNumberFormat="1" applyFont="1" applyFill="1" applyBorder="1"/>
    <xf numFmtId="0" fontId="12" fillId="0" borderId="16" xfId="0" applyFont="1" applyBorder="1"/>
    <xf numFmtId="0" fontId="28" fillId="0" borderId="16" xfId="0" applyFont="1" applyBorder="1"/>
    <xf numFmtId="0" fontId="28" fillId="0" borderId="19" xfId="0" applyFont="1" applyBorder="1"/>
    <xf numFmtId="0" fontId="66" fillId="0" borderId="14" xfId="0" applyFont="1" applyBorder="1" applyAlignment="1">
      <alignment horizontal="center" vertical="center" wrapText="1"/>
    </xf>
    <xf numFmtId="168" fontId="14" fillId="0" borderId="10" xfId="1" applyNumberFormat="1" applyFont="1" applyFill="1" applyBorder="1" applyAlignment="1">
      <alignment horizontal="left"/>
    </xf>
    <xf numFmtId="0" fontId="15" fillId="0" borderId="20" xfId="0" applyFont="1" applyBorder="1" applyAlignment="1">
      <alignment horizontal="left"/>
    </xf>
    <xf numFmtId="170" fontId="0" fillId="0" borderId="21" xfId="1" applyFont="1" applyBorder="1"/>
    <xf numFmtId="0" fontId="89" fillId="0" borderId="22" xfId="0" applyFont="1" applyBorder="1" applyAlignment="1">
      <alignment horizontal="left"/>
    </xf>
    <xf numFmtId="168" fontId="28" fillId="0" borderId="46" xfId="1" applyNumberFormat="1" applyFont="1" applyFill="1" applyBorder="1" applyAlignment="1">
      <alignment horizontal="left"/>
    </xf>
    <xf numFmtId="0" fontId="37" fillId="0" borderId="16" xfId="0" applyFont="1" applyBorder="1"/>
    <xf numFmtId="172" fontId="13" fillId="33" borderId="15" xfId="0" applyNumberFormat="1" applyFont="1" applyFill="1" applyBorder="1" applyAlignment="1">
      <alignment horizontal="left"/>
    </xf>
    <xf numFmtId="172" fontId="13" fillId="33" borderId="0" xfId="0" applyNumberFormat="1" applyFont="1" applyFill="1" applyAlignment="1">
      <alignment horizontal="left"/>
    </xf>
    <xf numFmtId="1" fontId="13" fillId="33" borderId="0" xfId="0" applyNumberFormat="1" applyFont="1" applyFill="1" applyAlignment="1">
      <alignment horizontal="left"/>
    </xf>
    <xf numFmtId="49" fontId="0" fillId="33" borderId="0" xfId="0" applyNumberFormat="1" applyFill="1" applyAlignment="1">
      <alignment horizontal="center"/>
    </xf>
    <xf numFmtId="0" fontId="13" fillId="33" borderId="0" xfId="0" applyFont="1" applyFill="1" applyAlignment="1">
      <alignment horizontal="left"/>
    </xf>
    <xf numFmtId="0" fontId="13" fillId="33" borderId="16" xfId="0" applyFont="1" applyFill="1" applyBorder="1" applyAlignment="1">
      <alignment horizontal="left"/>
    </xf>
    <xf numFmtId="170" fontId="1" fillId="33" borderId="15" xfId="1" applyFont="1" applyFill="1" applyBorder="1"/>
    <xf numFmtId="170" fontId="1" fillId="33" borderId="0" xfId="1" applyFont="1" applyFill="1" applyBorder="1"/>
    <xf numFmtId="170" fontId="14" fillId="33" borderId="16" xfId="1" applyFont="1" applyFill="1" applyBorder="1"/>
    <xf numFmtId="168" fontId="14" fillId="33" borderId="2" xfId="1" applyNumberFormat="1" applyFont="1" applyFill="1" applyBorder="1" applyAlignment="1">
      <alignment horizontal="left"/>
    </xf>
    <xf numFmtId="176" fontId="76" fillId="0" borderId="42" xfId="1" applyNumberFormat="1" applyFont="1" applyBorder="1" applyAlignment="1">
      <alignment horizontal="center"/>
    </xf>
    <xf numFmtId="2" fontId="79" fillId="0" borderId="0" xfId="0" applyNumberFormat="1" applyFont="1" applyAlignment="1">
      <alignment horizontal="center"/>
    </xf>
    <xf numFmtId="2" fontId="68" fillId="0" borderId="45" xfId="0" applyNumberFormat="1" applyFont="1" applyBorder="1"/>
    <xf numFmtId="2" fontId="68" fillId="0" borderId="4" xfId="0" applyNumberFormat="1" applyFont="1" applyBorder="1"/>
    <xf numFmtId="2" fontId="68" fillId="0" borderId="6" xfId="0" applyNumberFormat="1" applyFont="1" applyBorder="1"/>
    <xf numFmtId="176" fontId="76" fillId="0" borderId="51" xfId="1" applyNumberFormat="1" applyFont="1" applyBorder="1" applyAlignment="1">
      <alignment horizontal="center"/>
    </xf>
    <xf numFmtId="10" fontId="68" fillId="0" borderId="41" xfId="38" applyNumberFormat="1" applyFont="1" applyFill="1" applyBorder="1" applyAlignment="1">
      <alignment horizontal="right"/>
    </xf>
    <xf numFmtId="176" fontId="76" fillId="0" borderId="49" xfId="1" applyNumberFormat="1" applyFont="1" applyFill="1" applyBorder="1" applyAlignment="1">
      <alignment horizontal="center"/>
    </xf>
    <xf numFmtId="10" fontId="68" fillId="0" borderId="42" xfId="38" applyNumberFormat="1" applyFont="1" applyFill="1" applyBorder="1" applyAlignment="1">
      <alignment horizontal="right"/>
    </xf>
    <xf numFmtId="176" fontId="68" fillId="0" borderId="50" xfId="1" applyNumberFormat="1" applyFont="1" applyFill="1" applyBorder="1" applyAlignment="1">
      <alignment horizontal="center"/>
    </xf>
    <xf numFmtId="176" fontId="76" fillId="0" borderId="42" xfId="1" applyNumberFormat="1" applyFont="1" applyFill="1" applyBorder="1" applyAlignment="1">
      <alignment horizontal="center"/>
    </xf>
    <xf numFmtId="0" fontId="0" fillId="33" borderId="0" xfId="0" applyFill="1"/>
    <xf numFmtId="168" fontId="0" fillId="33" borderId="0" xfId="0" applyNumberFormat="1" applyFill="1"/>
    <xf numFmtId="0" fontId="0" fillId="35" borderId="0" xfId="0" applyFill="1"/>
    <xf numFmtId="168" fontId="0" fillId="35" borderId="0" xfId="0" applyNumberFormat="1" applyFill="1"/>
    <xf numFmtId="0" fontId="0" fillId="7" borderId="0" xfId="0" applyFill="1"/>
    <xf numFmtId="168" fontId="0" fillId="7" borderId="0" xfId="0" applyNumberFormat="1" applyFill="1"/>
    <xf numFmtId="2" fontId="0" fillId="35" borderId="15" xfId="0" applyNumberFormat="1" applyFill="1" applyBorder="1"/>
    <xf numFmtId="170" fontId="1" fillId="35" borderId="0" xfId="1" applyFont="1" applyFill="1" applyBorder="1"/>
    <xf numFmtId="2" fontId="14" fillId="35" borderId="16" xfId="0" applyNumberFormat="1" applyFont="1" applyFill="1" applyBorder="1"/>
    <xf numFmtId="168" fontId="14" fillId="35" borderId="2" xfId="1" applyNumberFormat="1" applyFont="1" applyFill="1" applyBorder="1" applyAlignment="1">
      <alignment horizontal="left"/>
    </xf>
    <xf numFmtId="0" fontId="12" fillId="7" borderId="15" xfId="0" applyFont="1" applyFill="1" applyBorder="1"/>
    <xf numFmtId="170" fontId="12" fillId="7" borderId="0" xfId="1" applyFont="1" applyFill="1" applyBorder="1"/>
    <xf numFmtId="0" fontId="37" fillId="7" borderId="16" xfId="0" applyFont="1" applyFill="1" applyBorder="1"/>
    <xf numFmtId="0" fontId="12" fillId="7" borderId="16" xfId="0" applyFont="1" applyFill="1" applyBorder="1"/>
    <xf numFmtId="172" fontId="13" fillId="7" borderId="15" xfId="0" applyNumberFormat="1" applyFont="1" applyFill="1" applyBorder="1" applyAlignment="1">
      <alignment horizontal="left"/>
    </xf>
    <xf numFmtId="172" fontId="13" fillId="7" borderId="0" xfId="0" applyNumberFormat="1" applyFont="1" applyFill="1" applyAlignment="1">
      <alignment horizontal="left"/>
    </xf>
    <xf numFmtId="1" fontId="13" fillId="7" borderId="0" xfId="0" applyNumberFormat="1" applyFont="1" applyFill="1" applyAlignment="1">
      <alignment horizontal="left"/>
    </xf>
    <xf numFmtId="49" fontId="0" fillId="7" borderId="0" xfId="0" applyNumberFormat="1" applyFill="1" applyAlignment="1">
      <alignment horizontal="center"/>
    </xf>
    <xf numFmtId="0" fontId="13" fillId="7" borderId="0" xfId="0" applyFont="1" applyFill="1" applyAlignment="1">
      <alignment horizontal="left"/>
    </xf>
    <xf numFmtId="0" fontId="13" fillId="7" borderId="16" xfId="0" applyFont="1" applyFill="1" applyBorder="1" applyAlignment="1">
      <alignment horizontal="left"/>
    </xf>
    <xf numFmtId="0" fontId="14" fillId="7" borderId="15" xfId="0" applyFont="1" applyFill="1" applyBorder="1"/>
    <xf numFmtId="170" fontId="1" fillId="7" borderId="0" xfId="1" applyFont="1" applyFill="1" applyBorder="1"/>
    <xf numFmtId="0" fontId="14" fillId="7" borderId="16" xfId="0" applyFont="1" applyFill="1" applyBorder="1"/>
    <xf numFmtId="170" fontId="14" fillId="7" borderId="0" xfId="1" applyFont="1" applyFill="1" applyBorder="1"/>
    <xf numFmtId="0" fontId="0" fillId="7" borderId="15" xfId="0" applyFill="1" applyBorder="1"/>
    <xf numFmtId="2" fontId="0" fillId="7" borderId="15" xfId="0" applyNumberFormat="1" applyFill="1" applyBorder="1"/>
    <xf numFmtId="2" fontId="14" fillId="7" borderId="16" xfId="0" applyNumberFormat="1" applyFont="1" applyFill="1" applyBorder="1"/>
    <xf numFmtId="0" fontId="15" fillId="7" borderId="0" xfId="0" applyFont="1" applyFill="1" applyAlignment="1">
      <alignment horizontal="left"/>
    </xf>
    <xf numFmtId="0" fontId="15" fillId="7" borderId="16" xfId="0" applyFont="1" applyFill="1" applyBorder="1" applyAlignment="1">
      <alignment horizontal="left"/>
    </xf>
    <xf numFmtId="0" fontId="14" fillId="7" borderId="0" xfId="1" applyNumberFormat="1" applyFont="1" applyFill="1" applyBorder="1"/>
    <xf numFmtId="0" fontId="0" fillId="7" borderId="16" xfId="0" applyFill="1" applyBorder="1"/>
    <xf numFmtId="2" fontId="0" fillId="7" borderId="16" xfId="0" applyNumberFormat="1" applyFill="1" applyBorder="1"/>
    <xf numFmtId="170" fontId="1" fillId="7" borderId="15" xfId="1" applyFont="1" applyFill="1" applyBorder="1"/>
    <xf numFmtId="170" fontId="1" fillId="7" borderId="16" xfId="1" applyFont="1" applyFill="1" applyBorder="1"/>
    <xf numFmtId="170" fontId="0" fillId="7" borderId="16" xfId="1" applyFont="1" applyFill="1" applyBorder="1"/>
    <xf numFmtId="170" fontId="14" fillId="7" borderId="16" xfId="1" applyFont="1" applyFill="1" applyBorder="1"/>
    <xf numFmtId="0" fontId="13" fillId="7" borderId="15" xfId="0" applyFont="1" applyFill="1" applyBorder="1" applyAlignment="1">
      <alignment horizontal="left"/>
    </xf>
    <xf numFmtId="170" fontId="0" fillId="7" borderId="0" xfId="1" applyFont="1" applyFill="1" applyBorder="1"/>
    <xf numFmtId="0" fontId="13" fillId="34" borderId="15" xfId="0" applyFont="1" applyFill="1" applyBorder="1" applyAlignment="1">
      <alignment horizontal="left"/>
    </xf>
    <xf numFmtId="170" fontId="0" fillId="34" borderId="0" xfId="1" applyFont="1" applyFill="1" applyBorder="1"/>
    <xf numFmtId="165" fontId="13" fillId="34" borderId="16" xfId="0" applyNumberFormat="1" applyFont="1" applyFill="1" applyBorder="1" applyAlignment="1">
      <alignment horizontal="left"/>
    </xf>
    <xf numFmtId="168" fontId="28" fillId="34" borderId="10" xfId="1" applyNumberFormat="1" applyFont="1" applyFill="1" applyBorder="1" applyAlignment="1">
      <alignment horizontal="left"/>
    </xf>
    <xf numFmtId="168" fontId="14" fillId="7" borderId="6" xfId="1" applyNumberFormat="1" applyFont="1" applyFill="1" applyBorder="1" applyAlignment="1">
      <alignment horizontal="left"/>
    </xf>
    <xf numFmtId="176" fontId="76" fillId="0" borderId="41" xfId="1" applyNumberFormat="1" applyFont="1" applyFill="1" applyBorder="1" applyAlignment="1">
      <alignment horizontal="center" vertical="center"/>
    </xf>
    <xf numFmtId="44" fontId="76" fillId="0" borderId="45" xfId="37" applyNumberFormat="1" applyFont="1" applyFill="1" applyBorder="1" applyAlignment="1">
      <alignment horizontal="right" vertical="center"/>
    </xf>
    <xf numFmtId="44" fontId="76" fillId="0" borderId="4" xfId="37" applyNumberFormat="1" applyFont="1" applyFill="1" applyBorder="1" applyAlignment="1">
      <alignment horizontal="right" vertical="center"/>
    </xf>
    <xf numFmtId="44" fontId="76" fillId="0" borderId="6" xfId="37" applyNumberFormat="1" applyFont="1" applyFill="1" applyBorder="1" applyAlignment="1">
      <alignment horizontal="right" vertical="center"/>
    </xf>
    <xf numFmtId="44" fontId="14" fillId="0" borderId="0" xfId="37" applyNumberFormat="1" applyFont="1"/>
    <xf numFmtId="44" fontId="0" fillId="0" borderId="0" xfId="0" applyNumberFormat="1"/>
    <xf numFmtId="44" fontId="14" fillId="0" borderId="30" xfId="37" applyNumberFormat="1" applyFont="1" applyFill="1" applyBorder="1"/>
    <xf numFmtId="44" fontId="28" fillId="0" borderId="47" xfId="1" applyNumberFormat="1" applyFont="1" applyFill="1" applyBorder="1" applyAlignment="1">
      <alignment horizontal="left"/>
    </xf>
    <xf numFmtId="44" fontId="28" fillId="0" borderId="48" xfId="1" applyNumberFormat="1" applyFont="1" applyFill="1" applyBorder="1" applyAlignment="1">
      <alignment horizontal="left"/>
    </xf>
    <xf numFmtId="44" fontId="14" fillId="2" borderId="8" xfId="1" applyNumberFormat="1" applyFont="1" applyFill="1" applyBorder="1" applyAlignment="1">
      <alignment horizontal="left"/>
    </xf>
    <xf numFmtId="44" fontId="14" fillId="2" borderId="43" xfId="1" applyNumberFormat="1" applyFont="1" applyFill="1" applyBorder="1" applyAlignment="1">
      <alignment horizontal="left"/>
    </xf>
    <xf numFmtId="44" fontId="14" fillId="2" borderId="9" xfId="1" applyNumberFormat="1" applyFont="1" applyFill="1" applyBorder="1" applyAlignment="1">
      <alignment horizontal="left"/>
    </xf>
    <xf numFmtId="44" fontId="14" fillId="0" borderId="43" xfId="0" applyNumberFormat="1" applyFont="1" applyBorder="1"/>
    <xf numFmtId="44" fontId="12" fillId="0" borderId="40" xfId="0" applyNumberFormat="1" applyFont="1" applyBorder="1"/>
    <xf numFmtId="44" fontId="12" fillId="0" borderId="38" xfId="0" applyNumberFormat="1" applyFont="1" applyBorder="1"/>
    <xf numFmtId="44" fontId="12" fillId="0" borderId="30" xfId="0" applyNumberFormat="1" applyFont="1" applyBorder="1"/>
    <xf numFmtId="44" fontId="28" fillId="34" borderId="8" xfId="1" applyNumberFormat="1" applyFont="1" applyFill="1" applyBorder="1" applyAlignment="1">
      <alignment horizontal="left"/>
    </xf>
    <xf numFmtId="44" fontId="28" fillId="34" borderId="43" xfId="1" applyNumberFormat="1" applyFont="1" applyFill="1" applyBorder="1" applyAlignment="1">
      <alignment horizontal="left"/>
    </xf>
    <xf numFmtId="44" fontId="12" fillId="34" borderId="9" xfId="0" applyNumberFormat="1" applyFont="1" applyFill="1" applyBorder="1"/>
    <xf numFmtId="44" fontId="12" fillId="34" borderId="43" xfId="0" applyNumberFormat="1" applyFont="1" applyFill="1" applyBorder="1"/>
    <xf numFmtId="44" fontId="28" fillId="0" borderId="3" xfId="1" applyNumberFormat="1" applyFont="1" applyBorder="1" applyAlignment="1">
      <alignment horizontal="left"/>
    </xf>
    <xf numFmtId="44" fontId="28" fillId="0" borderId="42" xfId="1" applyNumberFormat="1" applyFont="1" applyBorder="1" applyAlignment="1">
      <alignment horizontal="left"/>
    </xf>
    <xf numFmtId="44" fontId="28" fillId="0" borderId="4" xfId="1" applyNumberFormat="1" applyFont="1" applyBorder="1" applyAlignment="1">
      <alignment horizontal="left"/>
    </xf>
    <xf numFmtId="44" fontId="0" fillId="0" borderId="42" xfId="0" applyNumberFormat="1" applyBorder="1"/>
    <xf numFmtId="44" fontId="14" fillId="7" borderId="3" xfId="1" applyNumberFormat="1" applyFont="1" applyFill="1" applyBorder="1" applyAlignment="1">
      <alignment horizontal="left"/>
    </xf>
    <xf numFmtId="44" fontId="14" fillId="7" borderId="42" xfId="1" applyNumberFormat="1" applyFont="1" applyFill="1" applyBorder="1" applyAlignment="1">
      <alignment horizontal="left"/>
    </xf>
    <xf numFmtId="44" fontId="14" fillId="7" borderId="4" xfId="1" applyNumberFormat="1" applyFont="1" applyFill="1" applyBorder="1" applyAlignment="1">
      <alignment horizontal="left"/>
    </xf>
    <xf numFmtId="44" fontId="0" fillId="7" borderId="42" xfId="0" applyNumberFormat="1" applyFill="1" applyBorder="1"/>
    <xf numFmtId="44" fontId="14" fillId="0" borderId="42" xfId="1" applyNumberFormat="1" applyFont="1" applyFill="1" applyBorder="1" applyAlignment="1">
      <alignment horizontal="left"/>
    </xf>
    <xf numFmtId="44" fontId="12" fillId="0" borderId="4" xfId="1" applyNumberFormat="1" applyFont="1" applyFill="1" applyBorder="1" applyAlignment="1">
      <alignment horizontal="left"/>
    </xf>
    <xf numFmtId="44" fontId="1" fillId="7" borderId="4" xfId="1" applyNumberFormat="1" applyFont="1" applyFill="1" applyBorder="1" applyAlignment="1">
      <alignment horizontal="left"/>
    </xf>
    <xf numFmtId="44" fontId="14" fillId="33" borderId="3" xfId="1" applyNumberFormat="1" applyFont="1" applyFill="1" applyBorder="1" applyAlignment="1">
      <alignment horizontal="left"/>
    </xf>
    <xf numFmtId="44" fontId="14" fillId="33" borderId="42" xfId="1" applyNumberFormat="1" applyFont="1" applyFill="1" applyBorder="1" applyAlignment="1">
      <alignment horizontal="left"/>
    </xf>
    <xf numFmtId="44" fontId="1" fillId="33" borderId="4" xfId="1" applyNumberFormat="1" applyFont="1" applyFill="1" applyBorder="1" applyAlignment="1">
      <alignment horizontal="left"/>
    </xf>
    <xf numFmtId="44" fontId="0" fillId="33" borderId="42" xfId="0" applyNumberFormat="1" applyFill="1" applyBorder="1"/>
    <xf numFmtId="44" fontId="14" fillId="0" borderId="4" xfId="1" applyNumberFormat="1" applyFont="1" applyFill="1" applyBorder="1" applyAlignment="1">
      <alignment horizontal="left"/>
    </xf>
    <xf numFmtId="44" fontId="14" fillId="35" borderId="3" xfId="1" applyNumberFormat="1" applyFont="1" applyFill="1" applyBorder="1" applyAlignment="1">
      <alignment horizontal="left"/>
    </xf>
    <xf numFmtId="44" fontId="1" fillId="35" borderId="4" xfId="1" applyNumberFormat="1" applyFont="1" applyFill="1" applyBorder="1" applyAlignment="1">
      <alignment horizontal="left"/>
    </xf>
    <xf numFmtId="44" fontId="0" fillId="35" borderId="42" xfId="0" applyNumberFormat="1" applyFill="1" applyBorder="1"/>
    <xf numFmtId="44" fontId="14" fillId="7" borderId="5" xfId="1" applyNumberFormat="1" applyFont="1" applyFill="1" applyBorder="1" applyAlignment="1">
      <alignment horizontal="left"/>
    </xf>
    <xf numFmtId="44" fontId="28" fillId="2" borderId="44" xfId="0" applyNumberFormat="1" applyFont="1" applyFill="1" applyBorder="1"/>
    <xf numFmtId="44" fontId="0" fillId="7" borderId="0" xfId="0" applyNumberFormat="1" applyFill="1"/>
    <xf numFmtId="44" fontId="0" fillId="35" borderId="0" xfId="0" applyNumberFormat="1" applyFill="1"/>
    <xf numFmtId="44" fontId="0" fillId="33" borderId="0" xfId="0" applyNumberFormat="1" applyFill="1"/>
    <xf numFmtId="44" fontId="28" fillId="0" borderId="30" xfId="0" applyNumberFormat="1" applyFont="1" applyBorder="1"/>
    <xf numFmtId="2" fontId="78" fillId="0" borderId="18" xfId="0" applyNumberFormat="1" applyFont="1" applyBorder="1" applyAlignment="1">
      <alignment horizontal="left" vertical="center" wrapText="1"/>
    </xf>
    <xf numFmtId="1" fontId="78" fillId="0" borderId="23" xfId="0" applyNumberFormat="1" applyFont="1" applyBorder="1" applyAlignment="1">
      <alignment horizontal="left" vertical="center" wrapText="1"/>
    </xf>
    <xf numFmtId="2" fontId="78" fillId="0" borderId="24" xfId="0" applyNumberFormat="1" applyFont="1" applyBorder="1" applyAlignment="1">
      <alignment horizontal="left" vertical="center" wrapText="1"/>
    </xf>
    <xf numFmtId="1" fontId="78" fillId="0" borderId="17" xfId="0" applyNumberFormat="1" applyFont="1" applyBorder="1" applyAlignment="1">
      <alignment horizontal="left" vertical="center" wrapText="1"/>
    </xf>
    <xf numFmtId="2" fontId="78" fillId="36" borderId="0" xfId="0" applyNumberFormat="1" applyFont="1" applyFill="1"/>
    <xf numFmtId="10" fontId="81" fillId="36" borderId="35" xfId="38" applyNumberFormat="1" applyFont="1" applyFill="1" applyBorder="1" applyAlignment="1">
      <alignment horizontal="right"/>
    </xf>
    <xf numFmtId="168" fontId="14" fillId="0" borderId="6" xfId="1" applyNumberFormat="1" applyFont="1" applyFill="1" applyBorder="1" applyAlignment="1">
      <alignment horizontal="left"/>
    </xf>
    <xf numFmtId="44" fontId="14" fillId="0" borderId="51" xfId="1" applyNumberFormat="1" applyFont="1" applyFill="1" applyBorder="1" applyAlignment="1">
      <alignment horizontal="left"/>
    </xf>
    <xf numFmtId="44" fontId="1" fillId="0" borderId="6" xfId="1" applyNumberFormat="1" applyFont="1" applyFill="1" applyBorder="1" applyAlignment="1">
      <alignment horizontal="left"/>
    </xf>
    <xf numFmtId="44" fontId="0" fillId="0" borderId="51" xfId="0" applyNumberFormat="1" applyBorder="1"/>
    <xf numFmtId="167" fontId="48" fillId="0" borderId="0" xfId="1" applyNumberFormat="1" applyFont="1" applyFill="1"/>
    <xf numFmtId="170" fontId="12" fillId="0" borderId="0" xfId="1" applyFont="1" applyFill="1"/>
    <xf numFmtId="167" fontId="49" fillId="0" borderId="0" xfId="1" applyNumberFormat="1" applyFont="1" applyFill="1" applyAlignment="1">
      <alignment horizontal="right" vertical="center"/>
    </xf>
    <xf numFmtId="167" fontId="0" fillId="0" borderId="0" xfId="1" applyNumberFormat="1" applyFont="1" applyFill="1"/>
    <xf numFmtId="2" fontId="0" fillId="7" borderId="0" xfId="0" applyNumberFormat="1" applyFill="1"/>
    <xf numFmtId="167" fontId="14" fillId="7" borderId="0" xfId="1" applyNumberFormat="1" applyFont="1" applyFill="1"/>
    <xf numFmtId="167" fontId="33" fillId="7" borderId="0" xfId="1" applyNumberFormat="1" applyFont="1" applyFill="1"/>
    <xf numFmtId="0" fontId="14" fillId="7" borderId="0" xfId="0" applyFont="1" applyFill="1"/>
    <xf numFmtId="0" fontId="33" fillId="7" borderId="0" xfId="0" applyFont="1" applyFill="1"/>
    <xf numFmtId="0" fontId="14" fillId="33" borderId="0" xfId="0" applyFont="1" applyFill="1"/>
    <xf numFmtId="167" fontId="14" fillId="33" borderId="0" xfId="1" applyNumberFormat="1" applyFont="1" applyFill="1"/>
    <xf numFmtId="176" fontId="44" fillId="18" borderId="0" xfId="1" applyNumberFormat="1" applyFont="1" applyFill="1" applyAlignment="1">
      <alignment horizontal="center" vertical="center"/>
    </xf>
    <xf numFmtId="167" fontId="51" fillId="7" borderId="0" xfId="1" applyNumberFormat="1" applyFont="1" applyFill="1" applyAlignment="1">
      <alignment horizontal="right" vertical="center"/>
    </xf>
    <xf numFmtId="176" fontId="21" fillId="2" borderId="0" xfId="1" quotePrefix="1" applyNumberFormat="1" applyFont="1" applyFill="1" applyAlignment="1">
      <alignment vertical="center"/>
    </xf>
    <xf numFmtId="167" fontId="44" fillId="8" borderId="35" xfId="1" applyNumberFormat="1" applyFont="1" applyFill="1" applyBorder="1" applyAlignment="1">
      <alignment vertical="center"/>
    </xf>
    <xf numFmtId="167" fontId="51" fillId="8" borderId="29" xfId="1" applyNumberFormat="1" applyFont="1" applyFill="1" applyBorder="1" applyAlignment="1">
      <alignment vertical="center"/>
    </xf>
    <xf numFmtId="167" fontId="51" fillId="8" borderId="8" xfId="1" applyNumberFormat="1" applyFont="1" applyFill="1" applyBorder="1" applyAlignment="1">
      <alignment vertical="center"/>
    </xf>
    <xf numFmtId="176" fontId="51" fillId="2" borderId="0" xfId="1" applyNumberFormat="1" applyFont="1" applyFill="1" applyAlignment="1">
      <alignment vertical="center"/>
    </xf>
    <xf numFmtId="176" fontId="21" fillId="2" borderId="0" xfId="1" quotePrefix="1" applyNumberFormat="1" applyFont="1" applyFill="1"/>
    <xf numFmtId="176" fontId="14" fillId="2" borderId="0" xfId="1" applyNumberFormat="1" applyFont="1" applyFill="1"/>
    <xf numFmtId="0" fontId="14" fillId="35" borderId="0" xfId="0" applyFont="1" applyFill="1"/>
    <xf numFmtId="2" fontId="0" fillId="35" borderId="0" xfId="0" applyNumberFormat="1" applyFill="1"/>
    <xf numFmtId="167" fontId="51" fillId="35" borderId="0" xfId="1" applyNumberFormat="1" applyFont="1" applyFill="1" applyAlignment="1">
      <alignment horizontal="right" vertical="center"/>
    </xf>
    <xf numFmtId="167" fontId="14" fillId="35" borderId="0" xfId="1" applyNumberFormat="1" applyFont="1" applyFill="1"/>
    <xf numFmtId="0" fontId="33" fillId="35" borderId="0" xfId="0" applyFont="1" applyFill="1"/>
    <xf numFmtId="10" fontId="88" fillId="0" borderId="37" xfId="40" applyNumberFormat="1" applyFill="1" applyAlignment="1">
      <alignment horizontal="right"/>
    </xf>
    <xf numFmtId="9" fontId="76" fillId="37" borderId="0" xfId="38" applyFont="1" applyFill="1"/>
    <xf numFmtId="2" fontId="65" fillId="0" borderId="0" xfId="0" applyNumberFormat="1" applyFont="1" applyAlignment="1">
      <alignment horizontal="centerContinuous"/>
    </xf>
    <xf numFmtId="2" fontId="76" fillId="0" borderId="0" xfId="0" applyNumberFormat="1" applyFont="1" applyAlignment="1">
      <alignment horizontal="centerContinuous"/>
    </xf>
    <xf numFmtId="167" fontId="44" fillId="0" borderId="35" xfId="1" applyNumberFormat="1" applyFont="1" applyFill="1" applyBorder="1" applyAlignment="1">
      <alignment horizontal="right" vertical="center"/>
    </xf>
    <xf numFmtId="44" fontId="12" fillId="0" borderId="0" xfId="0" applyNumberFormat="1" applyFont="1"/>
    <xf numFmtId="176" fontId="68" fillId="0" borderId="1" xfId="1" applyNumberFormat="1" applyFont="1" applyBorder="1" applyAlignment="1">
      <alignment horizontal="center"/>
    </xf>
    <xf numFmtId="9" fontId="0" fillId="0" borderId="0" xfId="38" applyFont="1"/>
    <xf numFmtId="168" fontId="14" fillId="31" borderId="2" xfId="1" applyNumberFormat="1" applyFont="1" applyFill="1" applyBorder="1" applyAlignment="1">
      <alignment horizontal="left"/>
    </xf>
    <xf numFmtId="44" fontId="14" fillId="31" borderId="3" xfId="1" applyNumberFormat="1" applyFont="1" applyFill="1" applyBorder="1" applyAlignment="1">
      <alignment horizontal="left"/>
    </xf>
    <xf numFmtId="172" fontId="90" fillId="31" borderId="15" xfId="0" applyNumberFormat="1" applyFont="1" applyFill="1" applyBorder="1" applyAlignment="1">
      <alignment horizontal="left"/>
    </xf>
    <xf numFmtId="172" fontId="90" fillId="31" borderId="0" xfId="0" applyNumberFormat="1" applyFont="1" applyFill="1" applyAlignment="1">
      <alignment horizontal="left"/>
    </xf>
    <xf numFmtId="1" fontId="90" fillId="31" borderId="0" xfId="0" applyNumberFormat="1" applyFont="1" applyFill="1" applyAlignment="1">
      <alignment horizontal="left"/>
    </xf>
    <xf numFmtId="49" fontId="14" fillId="31" borderId="0" xfId="0" applyNumberFormat="1" applyFont="1" applyFill="1" applyAlignment="1">
      <alignment horizontal="center"/>
    </xf>
    <xf numFmtId="0" fontId="90" fillId="31" borderId="0" xfId="0" applyFont="1" applyFill="1" applyAlignment="1">
      <alignment horizontal="left"/>
    </xf>
    <xf numFmtId="0" fontId="89" fillId="31" borderId="16" xfId="0" applyFont="1" applyFill="1" applyBorder="1" applyAlignment="1">
      <alignment horizontal="left"/>
    </xf>
    <xf numFmtId="0" fontId="28" fillId="31" borderId="15" xfId="0" applyFont="1" applyFill="1" applyBorder="1"/>
    <xf numFmtId="170" fontId="28" fillId="31" borderId="0" xfId="1" applyFont="1" applyFill="1" applyBorder="1"/>
    <xf numFmtId="0" fontId="28" fillId="31" borderId="16" xfId="0" applyFont="1" applyFill="1" applyBorder="1"/>
    <xf numFmtId="44" fontId="14" fillId="31" borderId="42" xfId="1" applyNumberFormat="1" applyFont="1" applyFill="1" applyBorder="1" applyAlignment="1">
      <alignment horizontal="left"/>
    </xf>
    <xf numFmtId="44" fontId="14" fillId="31" borderId="4" xfId="1" applyNumberFormat="1" applyFont="1" applyFill="1" applyBorder="1" applyAlignment="1">
      <alignment horizontal="left"/>
    </xf>
    <xf numFmtId="44" fontId="14" fillId="31" borderId="42" xfId="0" applyNumberFormat="1" applyFont="1" applyFill="1" applyBorder="1"/>
    <xf numFmtId="172" fontId="90" fillId="0" borderId="15" xfId="0" applyNumberFormat="1" applyFont="1" applyBorder="1" applyAlignment="1">
      <alignment horizontal="left"/>
    </xf>
    <xf numFmtId="172" fontId="90" fillId="0" borderId="0" xfId="0" applyNumberFormat="1" applyFont="1" applyAlignment="1">
      <alignment horizontal="left"/>
    </xf>
    <xf numFmtId="1" fontId="90" fillId="0" borderId="0" xfId="0" applyNumberFormat="1" applyFont="1" applyAlignment="1">
      <alignment horizontal="left"/>
    </xf>
    <xf numFmtId="49" fontId="14" fillId="0" borderId="0" xfId="0" applyNumberFormat="1" applyFont="1" applyAlignment="1">
      <alignment horizontal="center"/>
    </xf>
    <xf numFmtId="0" fontId="89" fillId="0" borderId="0" xfId="0" applyFont="1" applyAlignment="1">
      <alignment horizontal="left"/>
    </xf>
    <xf numFmtId="44" fontId="14" fillId="7" borderId="42" xfId="0" applyNumberFormat="1" applyFont="1" applyFill="1" applyBorder="1"/>
    <xf numFmtId="170" fontId="14" fillId="0" borderId="0" xfId="1" applyFont="1" applyBorder="1"/>
    <xf numFmtId="176" fontId="28" fillId="38" borderId="35" xfId="1" applyNumberFormat="1" applyFont="1" applyFill="1" applyBorder="1"/>
    <xf numFmtId="176" fontId="14" fillId="38" borderId="29" xfId="1" applyNumberFormat="1" applyFont="1" applyFill="1" applyBorder="1"/>
    <xf numFmtId="176" fontId="14" fillId="38" borderId="0" xfId="1" applyNumberFormat="1" applyFont="1" applyFill="1" applyBorder="1"/>
    <xf numFmtId="176" fontId="28" fillId="38" borderId="13" xfId="1" applyNumberFormat="1" applyFont="1" applyFill="1" applyBorder="1"/>
    <xf numFmtId="176" fontId="14" fillId="38" borderId="8" xfId="1" applyNumberFormat="1" applyFont="1" applyFill="1" applyBorder="1"/>
    <xf numFmtId="176" fontId="14" fillId="38" borderId="9" xfId="1" applyNumberFormat="1" applyFont="1" applyFill="1" applyBorder="1"/>
    <xf numFmtId="176" fontId="28" fillId="38" borderId="12" xfId="1" applyNumberFormat="1" applyFont="1" applyFill="1" applyBorder="1"/>
    <xf numFmtId="176" fontId="91" fillId="18" borderId="0" xfId="1" applyNumberFormat="1" applyFont="1" applyFill="1" applyAlignment="1">
      <alignment horizontal="center" vertical="center"/>
    </xf>
    <xf numFmtId="176" fontId="92" fillId="18" borderId="0" xfId="1" applyNumberFormat="1" applyFont="1" applyFill="1" applyAlignment="1">
      <alignment horizontal="center" vertical="center"/>
    </xf>
    <xf numFmtId="167" fontId="91" fillId="0" borderId="35" xfId="1" applyNumberFormat="1" applyFont="1" applyBorder="1" applyAlignment="1">
      <alignment horizontal="right" vertical="center"/>
    </xf>
    <xf numFmtId="167" fontId="93" fillId="7" borderId="0" xfId="1" applyNumberFormat="1" applyFont="1" applyFill="1" applyAlignment="1">
      <alignment horizontal="right" vertical="center"/>
    </xf>
    <xf numFmtId="167" fontId="94" fillId="0" borderId="0" xfId="1" applyNumberFormat="1" applyFont="1" applyAlignment="1">
      <alignment horizontal="right" vertical="center"/>
    </xf>
    <xf numFmtId="167" fontId="93" fillId="35" borderId="0" xfId="1" applyNumberFormat="1" applyFont="1" applyFill="1" applyAlignment="1">
      <alignment horizontal="right" vertical="center"/>
    </xf>
    <xf numFmtId="167" fontId="91" fillId="8" borderId="35" xfId="1" applyNumberFormat="1" applyFont="1" applyFill="1" applyBorder="1" applyAlignment="1">
      <alignment vertical="center"/>
    </xf>
    <xf numFmtId="167" fontId="93" fillId="8" borderId="29" xfId="1" applyNumberFormat="1" applyFont="1" applyFill="1" applyBorder="1" applyAlignment="1">
      <alignment vertical="center"/>
    </xf>
    <xf numFmtId="167" fontId="93" fillId="8" borderId="8" xfId="1" applyNumberFormat="1" applyFont="1" applyFill="1" applyBorder="1" applyAlignment="1">
      <alignment vertical="center"/>
    </xf>
    <xf numFmtId="167" fontId="95" fillId="2" borderId="0" xfId="1" applyNumberFormat="1" applyFont="1" applyFill="1"/>
    <xf numFmtId="176" fontId="93" fillId="2" borderId="0" xfId="1" applyNumberFormat="1" applyFont="1" applyFill="1" applyAlignment="1">
      <alignment vertical="center"/>
    </xf>
    <xf numFmtId="176" fontId="94" fillId="2" borderId="0" xfId="1" applyNumberFormat="1" applyFont="1" applyFill="1" applyAlignment="1">
      <alignment horizontal="right" vertical="center"/>
    </xf>
    <xf numFmtId="176" fontId="95" fillId="2" borderId="0" xfId="1" applyNumberFormat="1" applyFont="1" applyFill="1"/>
    <xf numFmtId="176" fontId="14" fillId="38" borderId="0" xfId="1" applyNumberFormat="1" applyFont="1" applyFill="1"/>
    <xf numFmtId="167" fontId="14" fillId="28" borderId="29" xfId="1" applyNumberFormat="1" applyFont="1" applyFill="1" applyBorder="1"/>
    <xf numFmtId="167" fontId="14" fillId="28" borderId="31" xfId="1" applyNumberFormat="1" applyFont="1" applyFill="1" applyBorder="1"/>
    <xf numFmtId="167" fontId="14" fillId="28" borderId="8" xfId="1" applyNumberFormat="1" applyFont="1" applyFill="1" applyBorder="1"/>
    <xf numFmtId="167" fontId="14" fillId="28" borderId="10" xfId="1" applyNumberFormat="1" applyFont="1" applyFill="1" applyBorder="1"/>
    <xf numFmtId="176" fontId="14" fillId="38" borderId="31" xfId="1" applyNumberFormat="1" applyFont="1" applyFill="1" applyBorder="1"/>
    <xf numFmtId="176" fontId="14" fillId="38" borderId="10" xfId="1" applyNumberFormat="1" applyFont="1" applyFill="1" applyBorder="1"/>
    <xf numFmtId="170" fontId="1" fillId="33" borderId="15" xfId="1" applyFont="1" applyFill="1" applyBorder="1" applyAlignment="1">
      <alignment horizontal="left"/>
    </xf>
    <xf numFmtId="167" fontId="33" fillId="33" borderId="0" xfId="1" applyNumberFormat="1" applyFont="1" applyFill="1"/>
    <xf numFmtId="182" fontId="76" fillId="0" borderId="0" xfId="0" applyNumberFormat="1" applyFont="1"/>
    <xf numFmtId="44" fontId="28" fillId="0" borderId="47" xfId="1" applyNumberFormat="1" applyFont="1" applyBorder="1" applyAlignment="1">
      <alignment horizontal="left"/>
    </xf>
    <xf numFmtId="44" fontId="14" fillId="0" borderId="3" xfId="1" applyNumberFormat="1" applyFont="1" applyBorder="1" applyAlignment="1">
      <alignment horizontal="left"/>
    </xf>
    <xf numFmtId="44" fontId="14" fillId="0" borderId="5" xfId="1" applyNumberFormat="1" applyFont="1" applyBorder="1" applyAlignment="1">
      <alignment horizontal="left"/>
    </xf>
    <xf numFmtId="44" fontId="14" fillId="0" borderId="30" xfId="37" applyNumberFormat="1" applyFont="1" applyBorder="1"/>
    <xf numFmtId="9" fontId="48" fillId="0" borderId="0" xfId="38" applyFont="1"/>
    <xf numFmtId="0" fontId="16" fillId="0" borderId="21" xfId="18" applyFont="1" applyBorder="1" applyAlignment="1">
      <alignment horizontal="center" vertical="center" wrapText="1"/>
    </xf>
    <xf numFmtId="10" fontId="28" fillId="0" borderId="0" xfId="0" applyNumberFormat="1" applyFont="1"/>
    <xf numFmtId="2" fontId="14" fillId="7" borderId="0" xfId="0" applyNumberFormat="1" applyFont="1" applyFill="1"/>
    <xf numFmtId="170" fontId="14" fillId="0" borderId="0" xfId="1" applyFont="1" applyFill="1"/>
    <xf numFmtId="170" fontId="28" fillId="0" borderId="0" xfId="1" applyFont="1" applyFill="1"/>
    <xf numFmtId="167" fontId="77" fillId="0" borderId="0" xfId="1" applyNumberFormat="1" applyFont="1" applyFill="1"/>
    <xf numFmtId="167" fontId="51" fillId="0" borderId="0" xfId="1" applyNumberFormat="1" applyFont="1" applyFill="1" applyAlignment="1">
      <alignment horizontal="right" vertical="center"/>
    </xf>
    <xf numFmtId="2" fontId="14" fillId="35" borderId="0" xfId="0" applyNumberFormat="1" applyFont="1" applyFill="1"/>
    <xf numFmtId="176" fontId="76" fillId="0" borderId="52" xfId="1" applyNumberFormat="1" applyFont="1" applyFill="1" applyBorder="1" applyAlignment="1">
      <alignment horizontal="center"/>
    </xf>
    <xf numFmtId="170" fontId="0" fillId="36" borderId="35" xfId="1" applyFont="1" applyFill="1" applyBorder="1" applyAlignment="1">
      <alignment horizontal="center"/>
    </xf>
    <xf numFmtId="44" fontId="0" fillId="36" borderId="35" xfId="1" applyNumberFormat="1" applyFont="1" applyFill="1" applyBorder="1" applyAlignment="1">
      <alignment horizontal="center"/>
    </xf>
    <xf numFmtId="10" fontId="68" fillId="2" borderId="42" xfId="38" applyNumberFormat="1" applyFont="1" applyFill="1" applyBorder="1" applyAlignment="1">
      <alignment horizontal="right"/>
    </xf>
    <xf numFmtId="176" fontId="76" fillId="0" borderId="50" xfId="1" applyNumberFormat="1" applyFont="1" applyFill="1" applyBorder="1" applyAlignment="1">
      <alignment horizontal="center"/>
    </xf>
    <xf numFmtId="10" fontId="68" fillId="2" borderId="51" xfId="38" applyNumberFormat="1" applyFont="1" applyFill="1" applyBorder="1" applyAlignment="1">
      <alignment horizontal="right"/>
    </xf>
    <xf numFmtId="44" fontId="33" fillId="33" borderId="42" xfId="0" applyNumberFormat="1" applyFont="1" applyFill="1" applyBorder="1"/>
    <xf numFmtId="0" fontId="33" fillId="33" borderId="0" xfId="0" applyFont="1" applyFill="1"/>
    <xf numFmtId="0" fontId="49" fillId="0" borderId="0" xfId="0" applyFont="1" applyAlignment="1">
      <alignment vertical="center"/>
    </xf>
    <xf numFmtId="0" fontId="42" fillId="2" borderId="0" xfId="0" applyFont="1" applyFill="1" applyAlignment="1">
      <alignment horizontal="centerContinuous" wrapText="1"/>
    </xf>
    <xf numFmtId="0" fontId="0" fillId="2" borderId="0" xfId="0" applyFill="1" applyAlignment="1">
      <alignment horizontal="centerContinuous"/>
    </xf>
    <xf numFmtId="0" fontId="12" fillId="2" borderId="0" xfId="0" applyFont="1" applyFill="1" applyAlignment="1">
      <alignment horizontal="centerContinuous"/>
    </xf>
    <xf numFmtId="2" fontId="0" fillId="2" borderId="0" xfId="38" applyNumberFormat="1" applyFont="1" applyFill="1" applyAlignment="1">
      <alignment horizontal="centerContinuous"/>
    </xf>
    <xf numFmtId="2" fontId="79" fillId="0" borderId="20" xfId="0" applyNumberFormat="1" applyFont="1" applyBorder="1" applyAlignment="1">
      <alignment horizontal="center"/>
    </xf>
    <xf numFmtId="2" fontId="79" fillId="0" borderId="21" xfId="0" applyNumberFormat="1" applyFont="1" applyBorder="1" applyAlignment="1">
      <alignment horizontal="center"/>
    </xf>
    <xf numFmtId="2" fontId="79" fillId="0" borderId="22" xfId="0" applyNumberFormat="1" applyFont="1" applyBorder="1" applyAlignment="1">
      <alignment horizontal="center"/>
    </xf>
    <xf numFmtId="2" fontId="78" fillId="0" borderId="1" xfId="0" applyNumberFormat="1" applyFont="1" applyBorder="1" applyAlignment="1">
      <alignment horizontal="center" vertical="center"/>
    </xf>
    <xf numFmtId="4" fontId="81" fillId="23" borderId="7" xfId="27" applyNumberFormat="1" applyFont="1" applyFill="1" applyBorder="1" applyAlignment="1">
      <alignment horizontal="center"/>
    </xf>
    <xf numFmtId="0" fontId="81" fillId="23" borderId="11" xfId="0" applyFont="1" applyFill="1" applyBorder="1" applyAlignment="1">
      <alignment horizontal="center"/>
    </xf>
    <xf numFmtId="4" fontId="81" fillId="24" borderId="11" xfId="27" applyNumberFormat="1" applyFont="1" applyFill="1" applyBorder="1" applyAlignment="1">
      <alignment horizontal="center"/>
    </xf>
    <xf numFmtId="0" fontId="81" fillId="24" borderId="11" xfId="0" applyFont="1" applyFill="1" applyBorder="1" applyAlignment="1">
      <alignment horizont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87" fillId="24" borderId="0" xfId="0" applyFont="1" applyFill="1" applyAlignment="1">
      <alignment horizontal="center" vertical="center" wrapText="1"/>
    </xf>
    <xf numFmtId="14" fontId="28" fillId="24" borderId="0" xfId="27" applyNumberFormat="1" applyFont="1" applyFill="1" applyAlignment="1">
      <alignment horizontal="center"/>
    </xf>
    <xf numFmtId="0" fontId="44" fillId="24" borderId="0" xfId="0" applyFont="1" applyFill="1" applyAlignment="1">
      <alignment horizontal="center" vertical="center" wrapText="1"/>
    </xf>
    <xf numFmtId="14" fontId="28" fillId="24" borderId="0" xfId="27" quotePrefix="1" applyNumberFormat="1" applyFont="1" applyFill="1" applyAlignment="1">
      <alignment horizontal="center"/>
    </xf>
    <xf numFmtId="0" fontId="28" fillId="24" borderId="0" xfId="0" applyFont="1" applyFill="1" applyAlignment="1">
      <alignment horizontal="center" vertical="center" wrapText="1"/>
    </xf>
    <xf numFmtId="2" fontId="1" fillId="0" borderId="0" xfId="0" applyNumberFormat="1" applyFont="1" applyAlignment="1">
      <alignment horizontal="center" vertical="center" wrapText="1"/>
    </xf>
    <xf numFmtId="14" fontId="28" fillId="24" borderId="0" xfId="27" quotePrefix="1" applyNumberFormat="1" applyFont="1" applyFill="1" applyBorder="1" applyAlignment="1">
      <alignment horizontal="center"/>
    </xf>
    <xf numFmtId="14" fontId="28" fillId="24" borderId="0" xfId="27" applyNumberFormat="1" applyFont="1" applyFill="1" applyBorder="1" applyAlignment="1">
      <alignment horizontal="center"/>
    </xf>
    <xf numFmtId="0" fontId="44" fillId="24" borderId="0" xfId="0" applyFont="1" applyFill="1" applyAlignment="1">
      <alignment vertical="center"/>
    </xf>
    <xf numFmtId="49" fontId="44" fillId="24" borderId="0" xfId="0" applyNumberFormat="1" applyFont="1" applyFill="1" applyAlignment="1">
      <alignment horizontal="center" vertical="center"/>
    </xf>
    <xf numFmtId="0" fontId="44" fillId="24" borderId="0" xfId="0" applyFont="1" applyFill="1" applyAlignment="1">
      <alignment horizontal="center" vertical="center"/>
    </xf>
    <xf numFmtId="14" fontId="28" fillId="0" borderId="0" xfId="27" quotePrefix="1" applyNumberFormat="1" applyFont="1" applyFill="1" applyBorder="1" applyAlignment="1">
      <alignment horizontal="center"/>
    </xf>
    <xf numFmtId="14" fontId="28" fillId="0" borderId="0" xfId="27" applyNumberFormat="1" applyFont="1" applyFill="1" applyBorder="1" applyAlignment="1">
      <alignment horizontal="center"/>
    </xf>
    <xf numFmtId="0" fontId="44" fillId="0" borderId="0" xfId="0" applyFont="1" applyAlignment="1">
      <alignment horizontal="center" vertical="center" wrapText="1"/>
    </xf>
    <xf numFmtId="0" fontId="28" fillId="24" borderId="0" xfId="0" applyFont="1" applyFill="1" applyAlignment="1">
      <alignment vertical="center" wrapText="1"/>
    </xf>
    <xf numFmtId="0" fontId="5" fillId="22" borderId="29" xfId="0" applyFont="1" applyFill="1" applyBorder="1" applyAlignment="1">
      <alignment horizontal="left" vertical="center" wrapText="1"/>
    </xf>
    <xf numFmtId="0" fontId="5" fillId="22" borderId="0" xfId="0" applyFont="1" applyFill="1" applyAlignment="1">
      <alignment horizontal="left" vertical="center" wrapText="1"/>
    </xf>
    <xf numFmtId="0" fontId="5" fillId="22" borderId="8" xfId="0" applyFont="1" applyFill="1" applyBorder="1" applyAlignment="1">
      <alignment horizontal="left" vertical="center" wrapText="1"/>
    </xf>
    <xf numFmtId="0" fontId="5" fillId="22" borderId="9" xfId="0" applyFont="1" applyFill="1" applyBorder="1" applyAlignment="1">
      <alignment horizontal="left" vertical="center" wrapText="1"/>
    </xf>
    <xf numFmtId="0" fontId="11" fillId="23" borderId="5" xfId="0" applyFont="1" applyFill="1" applyBorder="1" applyAlignment="1">
      <alignment horizontal="center"/>
    </xf>
    <xf numFmtId="0" fontId="11" fillId="23" borderId="6" xfId="0" applyFont="1" applyFill="1" applyBorder="1" applyAlignment="1">
      <alignment horizontal="center"/>
    </xf>
    <xf numFmtId="0" fontId="11" fillId="23" borderId="7" xfId="0" applyFont="1" applyFill="1" applyBorder="1" applyAlignment="1">
      <alignment horizontal="center"/>
    </xf>
    <xf numFmtId="0" fontId="11" fillId="23" borderId="8" xfId="0" applyFont="1" applyFill="1" applyBorder="1" applyAlignment="1">
      <alignment horizontal="center"/>
    </xf>
    <xf numFmtId="0" fontId="11" fillId="23" borderId="9" xfId="0" applyFont="1" applyFill="1" applyBorder="1" applyAlignment="1">
      <alignment horizontal="center"/>
    </xf>
    <xf numFmtId="0" fontId="11" fillId="23" borderId="10" xfId="0" applyFont="1" applyFill="1" applyBorder="1" applyAlignment="1">
      <alignment horizontal="center"/>
    </xf>
    <xf numFmtId="0" fontId="11" fillId="23" borderId="11" xfId="0" applyFont="1" applyFill="1" applyBorder="1" applyAlignment="1">
      <alignment horizontal="center" wrapText="1"/>
    </xf>
    <xf numFmtId="0" fontId="11" fillId="23" borderId="13" xfId="0" applyFont="1" applyFill="1" applyBorder="1" applyAlignment="1">
      <alignment horizontal="center" wrapText="1"/>
    </xf>
    <xf numFmtId="0" fontId="11" fillId="23" borderId="13" xfId="0" applyFont="1" applyFill="1" applyBorder="1" applyAlignment="1">
      <alignment horizontal="center" vertical="center" wrapText="1"/>
    </xf>
    <xf numFmtId="0" fontId="11" fillId="23" borderId="12" xfId="0" applyFont="1" applyFill="1" applyBorder="1" applyAlignment="1">
      <alignment horizontal="center" vertical="center" wrapText="1"/>
    </xf>
    <xf numFmtId="0" fontId="11" fillId="23" borderId="11" xfId="0" applyFont="1" applyFill="1" applyBorder="1" applyAlignment="1">
      <alignment horizontal="center" vertical="center" wrapText="1"/>
    </xf>
    <xf numFmtId="0" fontId="11" fillId="23" borderId="1" xfId="0" applyFont="1" applyFill="1" applyBorder="1" applyAlignment="1">
      <alignment horizont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49" fontId="11" fillId="23" borderId="3" xfId="0" applyNumberFormat="1" applyFont="1" applyFill="1" applyBorder="1" applyAlignment="1">
      <alignment horizontal="center" vertical="center" wrapText="1"/>
    </xf>
    <xf numFmtId="49" fontId="11" fillId="23" borderId="4" xfId="0" applyNumberFormat="1" applyFont="1" applyFill="1" applyBorder="1" applyAlignment="1">
      <alignment horizontal="center" vertical="center" wrapText="1"/>
    </xf>
    <xf numFmtId="49" fontId="11" fillId="23" borderId="2" xfId="0" applyNumberFormat="1" applyFont="1" applyFill="1" applyBorder="1" applyAlignment="1">
      <alignment horizontal="center" vertical="center" wrapText="1"/>
    </xf>
    <xf numFmtId="0" fontId="11" fillId="23" borderId="1" xfId="0" applyFont="1" applyFill="1" applyBorder="1" applyAlignment="1">
      <alignment horizontal="center" vertical="center"/>
    </xf>
    <xf numFmtId="0" fontId="11" fillId="23" borderId="1" xfId="0" applyFont="1" applyFill="1" applyBorder="1" applyAlignment="1">
      <alignment horizontal="center" wrapText="1"/>
    </xf>
    <xf numFmtId="0" fontId="11" fillId="23" borderId="12" xfId="0" applyFont="1" applyFill="1" applyBorder="1" applyAlignment="1">
      <alignment horizontal="center" wrapText="1"/>
    </xf>
    <xf numFmtId="0" fontId="11" fillId="23" borderId="3" xfId="0" applyFont="1" applyFill="1" applyBorder="1" applyAlignment="1">
      <alignment horizont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11" fillId="0" borderId="1" xfId="0" applyFont="1" applyBorder="1" applyAlignment="1">
      <alignment horizontal="center" vertical="center" wrapText="1"/>
    </xf>
    <xf numFmtId="0" fontId="4" fillId="23"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11" fillId="4" borderId="1" xfId="0" applyFont="1" applyFill="1" applyBorder="1" applyAlignment="1">
      <alignment horizontal="center" wrapText="1"/>
    </xf>
    <xf numFmtId="0" fontId="11" fillId="4" borderId="11" xfId="0" applyFont="1" applyFill="1" applyBorder="1" applyAlignment="1">
      <alignment horizontal="center"/>
    </xf>
    <xf numFmtId="0" fontId="11" fillId="4" borderId="12" xfId="0" applyFont="1" applyFill="1" applyBorder="1" applyAlignment="1">
      <alignment horizontal="center"/>
    </xf>
    <xf numFmtId="0" fontId="11" fillId="4" borderId="1" xfId="0" applyFont="1" applyFill="1" applyBorder="1" applyAlignment="1">
      <alignment horizontal="center"/>
    </xf>
    <xf numFmtId="0" fontId="5" fillId="3" borderId="3"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2" xfId="0" applyFont="1" applyFill="1" applyBorder="1" applyAlignment="1">
      <alignment horizontal="left" vertical="top" wrapText="1"/>
    </xf>
    <xf numFmtId="49" fontId="11" fillId="4" borderId="3" xfId="0" applyNumberFormat="1" applyFont="1" applyFill="1" applyBorder="1" applyAlignment="1">
      <alignment horizontal="center" wrapText="1"/>
    </xf>
    <xf numFmtId="49" fontId="11" fillId="4" borderId="4" xfId="0" applyNumberFormat="1" applyFont="1" applyFill="1" applyBorder="1" applyAlignment="1">
      <alignment horizontal="center" wrapText="1"/>
    </xf>
    <xf numFmtId="49" fontId="11" fillId="4" borderId="2" xfId="0" applyNumberFormat="1" applyFont="1" applyFill="1" applyBorder="1" applyAlignment="1">
      <alignment horizontal="center" wrapText="1"/>
    </xf>
    <xf numFmtId="0" fontId="11" fillId="4" borderId="11" xfId="0" applyFont="1" applyFill="1" applyBorder="1" applyAlignment="1">
      <alignment horizontal="center" wrapText="1"/>
    </xf>
    <xf numFmtId="0" fontId="11" fillId="4" borderId="12" xfId="0" applyFont="1" applyFill="1" applyBorder="1" applyAlignment="1">
      <alignment horizontal="center" wrapText="1"/>
    </xf>
    <xf numFmtId="0" fontId="11" fillId="4" borderId="13" xfId="0" applyFont="1" applyFill="1" applyBorder="1" applyAlignment="1">
      <alignment horizontal="center" wrapText="1"/>
    </xf>
    <xf numFmtId="0" fontId="5" fillId="3" borderId="3" xfId="0" applyFont="1" applyFill="1" applyBorder="1" applyAlignment="1">
      <alignment vertical="top"/>
    </xf>
    <xf numFmtId="0" fontId="5" fillId="3" borderId="4" xfId="0" applyFont="1" applyFill="1" applyBorder="1" applyAlignment="1">
      <alignment vertical="top" wrapText="1"/>
    </xf>
    <xf numFmtId="0" fontId="5" fillId="3" borderId="2" xfId="0" applyFont="1" applyFill="1" applyBorder="1" applyAlignment="1">
      <alignment vertical="top" wrapText="1"/>
    </xf>
    <xf numFmtId="0" fontId="11" fillId="4" borderId="5" xfId="0" applyFont="1" applyFill="1" applyBorder="1" applyAlignment="1">
      <alignment horizontal="center"/>
    </xf>
    <xf numFmtId="0" fontId="11" fillId="4" borderId="6" xfId="0" applyFont="1" applyFill="1" applyBorder="1" applyAlignment="1">
      <alignment horizontal="center"/>
    </xf>
    <xf numFmtId="0" fontId="11" fillId="4" borderId="7" xfId="0" applyFont="1" applyFill="1" applyBorder="1" applyAlignment="1">
      <alignment horizontal="center"/>
    </xf>
    <xf numFmtId="0" fontId="11" fillId="4" borderId="8" xfId="0" applyFont="1" applyFill="1" applyBorder="1" applyAlignment="1">
      <alignment horizontal="center"/>
    </xf>
    <xf numFmtId="0" fontId="11" fillId="4" borderId="9" xfId="0" applyFont="1" applyFill="1" applyBorder="1" applyAlignment="1">
      <alignment horizontal="center"/>
    </xf>
    <xf numFmtId="0" fontId="11" fillId="4" borderId="10" xfId="0" applyFont="1" applyFill="1" applyBorder="1" applyAlignment="1">
      <alignment horizontal="center"/>
    </xf>
    <xf numFmtId="2" fontId="0" fillId="27" borderId="0" xfId="0" applyNumberFormat="1" applyFill="1" applyAlignment="1">
      <alignment horizontal="right" vertical="center" wrapText="1"/>
    </xf>
  </cellXfs>
  <cellStyles count="41">
    <cellStyle name="60% - Accent1" xfId="28" builtinId="32"/>
    <cellStyle name="Accent1" xfId="27" builtinId="29"/>
    <cellStyle name="Comma" xfId="1" builtinId="3"/>
    <cellStyle name="Comma 2" xfId="3" xr:uid="{00000000-0005-0000-0000-000003000000}"/>
    <cellStyle name="Comma 2 2 2" xfId="39" xr:uid="{00000000-0005-0000-0000-000004000000}"/>
    <cellStyle name="Comma 3" xfId="4" xr:uid="{00000000-0005-0000-0000-000005000000}"/>
    <cellStyle name="Currency" xfId="37" builtinId="4"/>
    <cellStyle name="F2" xfId="5" xr:uid="{00000000-0005-0000-0000-000007000000}"/>
    <cellStyle name="F3" xfId="6" xr:uid="{00000000-0005-0000-0000-000008000000}"/>
    <cellStyle name="F4" xfId="7" xr:uid="{00000000-0005-0000-0000-000009000000}"/>
    <cellStyle name="F5" xfId="8" xr:uid="{00000000-0005-0000-0000-00000A000000}"/>
    <cellStyle name="F6" xfId="9" xr:uid="{00000000-0005-0000-0000-00000B000000}"/>
    <cellStyle name="F7" xfId="10" xr:uid="{00000000-0005-0000-0000-00000C000000}"/>
    <cellStyle name="F8" xfId="11" xr:uid="{00000000-0005-0000-0000-00000D000000}"/>
    <cellStyle name="Followed Hyperlink" xfId="30" builtinId="9" hidden="1"/>
    <cellStyle name="Followed Hyperlink" xfId="32" builtinId="9" hidden="1"/>
    <cellStyle name="Followed Hyperlink" xfId="34" builtinId="9" hidden="1"/>
    <cellStyle name="Followed Hyperlink" xfId="36" builtinId="9" hidden="1"/>
    <cellStyle name="Heading 1" xfId="40" builtinId="16"/>
    <cellStyle name="Hyperlink" xfId="29" builtinId="8" hidden="1"/>
    <cellStyle name="Hyperlink" xfId="31" builtinId="8" hidden="1"/>
    <cellStyle name="Hyperlink" xfId="33" builtinId="8" hidden="1"/>
    <cellStyle name="Hyperlink" xfId="35" builtinId="8" hidden="1"/>
    <cellStyle name="Normal" xfId="0" builtinId="0"/>
    <cellStyle name="Normal 10" xfId="12" xr:uid="{00000000-0005-0000-0000-000017000000}"/>
    <cellStyle name="Normal 2" xfId="13" xr:uid="{00000000-0005-0000-0000-000018000000}"/>
    <cellStyle name="Normal 2 2" xfId="14" xr:uid="{00000000-0005-0000-0000-000019000000}"/>
    <cellStyle name="Normal 2 2 2" xfId="15" xr:uid="{00000000-0005-0000-0000-00001A000000}"/>
    <cellStyle name="Normal 2 3" xfId="16" xr:uid="{00000000-0005-0000-0000-00001B000000}"/>
    <cellStyle name="Normal 2 4" xfId="17" xr:uid="{00000000-0005-0000-0000-00001C000000}"/>
    <cellStyle name="Normal 3" xfId="18" xr:uid="{00000000-0005-0000-0000-00001D000000}"/>
    <cellStyle name="Normal 3 2" xfId="19" xr:uid="{00000000-0005-0000-0000-00001E000000}"/>
    <cellStyle name="Normal 4" xfId="20" xr:uid="{00000000-0005-0000-0000-00001F000000}"/>
    <cellStyle name="Normal 5" xfId="21" xr:uid="{00000000-0005-0000-0000-000020000000}"/>
    <cellStyle name="Normal 6" xfId="22" xr:uid="{00000000-0005-0000-0000-000021000000}"/>
    <cellStyle name="Normal 6 2" xfId="23" xr:uid="{00000000-0005-0000-0000-000022000000}"/>
    <cellStyle name="Normal 7" xfId="24" xr:uid="{00000000-0005-0000-0000-000023000000}"/>
    <cellStyle name="Normal 8" xfId="25" xr:uid="{00000000-0005-0000-0000-000024000000}"/>
    <cellStyle name="Normal 9" xfId="26" xr:uid="{00000000-0005-0000-0000-000025000000}"/>
    <cellStyle name="Normal_Sheet1" xfId="2" xr:uid="{00000000-0005-0000-0000-000026000000}"/>
    <cellStyle name="Percent" xfId="38" builtinId="5"/>
  </cellStyles>
  <dxfs count="16">
    <dxf>
      <font>
        <b val="0"/>
        <i val="0"/>
        <strike val="0"/>
        <condense val="0"/>
        <extend val="0"/>
        <outline val="0"/>
        <shadow val="0"/>
        <u val="none"/>
        <vertAlign val="baseline"/>
        <sz val="11"/>
        <color theme="1"/>
        <name val="Arial"/>
        <family val="2"/>
        <scheme val="none"/>
      </font>
      <numFmt numFmtId="176" formatCode="_ * #,##0_ ;_ * \-#,##0_ ;_ * &quot;-&quot;??_ ;_ @_ "/>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al="none"/>
        <vertAlign val="baseline"/>
        <sz val="11"/>
        <color auto="1"/>
        <name val="Arial"/>
        <family val="2"/>
        <scheme val="none"/>
      </font>
      <numFmt numFmtId="14" formatCode="0.00%"/>
      <fill>
        <patternFill patternType="solid">
          <fgColor indexed="64"/>
          <bgColor theme="0"/>
        </patternFill>
      </fill>
      <alignment horizontal="right"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none"/>
      </font>
      <numFmt numFmtId="34" formatCode="_-&quot;R&quot;* #,##0.00_-;\-&quot;R&quot;* #,##0.00_-;_-&quot;R&quot;* &quot;-&quot;??_-;_-@_-"/>
      <fill>
        <patternFill patternType="none">
          <fgColor indexed="64"/>
          <bgColor indexed="65"/>
        </patternFill>
      </fill>
      <alignment horizontal="right"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none"/>
      </font>
      <numFmt numFmtId="176" formatCode="_ * #,##0_ ;_ * \-#,##0_ ;_ * &quot;-&quot;??_ ;_ @_ "/>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auto="1"/>
        <name val="Arial"/>
        <family val="2"/>
        <scheme val="none"/>
      </font>
      <numFmt numFmtId="2" formatCode="0.00"/>
      <border diagonalUp="0" diagonalDown="0">
        <left/>
        <right/>
        <top style="thin">
          <color auto="1"/>
        </top>
        <bottom style="thin">
          <color auto="1"/>
        </bottom>
        <vertical/>
        <horizontal/>
      </border>
    </dxf>
    <dxf>
      <border outline="0">
        <left style="medium">
          <color indexed="64"/>
        </left>
        <right style="medium">
          <color indexed="64"/>
        </right>
        <top style="medium">
          <color auto="1"/>
        </top>
        <bottom style="medium">
          <color indexed="64"/>
        </bottom>
      </border>
    </dxf>
    <dxf>
      <border outline="0">
        <bottom style="medium">
          <color auto="1"/>
        </bottom>
      </border>
    </dxf>
    <dxf>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176" formatCode="_ * #,##0_ ;_ * \-#,##0_ ;_ * &quot;-&quot;??_ ;_ @_ "/>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al="none"/>
        <vertAlign val="baseline"/>
        <sz val="11"/>
        <color auto="1"/>
        <name val="Arial"/>
        <family val="2"/>
        <scheme val="none"/>
      </font>
      <numFmt numFmtId="14" formatCode="0.00%"/>
      <fill>
        <patternFill patternType="solid">
          <fgColor indexed="64"/>
          <bgColor theme="0"/>
        </patternFill>
      </fill>
      <alignment horizontal="right"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none"/>
      </font>
      <numFmt numFmtId="34" formatCode="_-&quot;R&quot;* #,##0.00_-;\-&quot;R&quot;* #,##0.00_-;_-&quot;R&quot;* &quot;-&quot;??_-;_-@_-"/>
      <fill>
        <patternFill patternType="none">
          <fgColor indexed="64"/>
          <bgColor indexed="65"/>
        </patternFill>
      </fill>
      <alignment horizontal="right" vertical="center"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none"/>
      </font>
      <numFmt numFmtId="176" formatCode="_ * #,##0_ ;_ * \-#,##0_ ;_ * &quot;-&quot;??_ ;_ @_ "/>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1"/>
        <color auto="1"/>
        <name val="Arial"/>
        <family val="2"/>
        <scheme val="none"/>
      </font>
      <numFmt numFmtId="2" formatCode="0.00"/>
      <border diagonalUp="0" diagonalDown="0">
        <left/>
        <right/>
        <top style="thin">
          <color auto="1"/>
        </top>
        <bottom style="thin">
          <color auto="1"/>
        </bottom>
        <vertical/>
        <horizontal/>
      </border>
    </dxf>
    <dxf>
      <border outline="0">
        <left style="medium">
          <color indexed="64"/>
        </left>
        <right style="medium">
          <color indexed="64"/>
        </right>
        <top style="medium">
          <color auto="1"/>
        </top>
        <bottom style="medium">
          <color indexed="64"/>
        </bottom>
      </border>
    </dxf>
    <dxf>
      <border outline="0">
        <bottom style="medium">
          <color auto="1"/>
        </bottom>
      </border>
    </dxf>
    <dxf>
      <fill>
        <patternFill patternType="none">
          <fgColor indexed="64"/>
          <bgColor auto="1"/>
        </patternFill>
      </fill>
      <alignment vertical="center" textRotation="0" wrapText="1" indent="0" justifyLastLine="0" shrinkToFit="0" readingOrder="0"/>
    </dxf>
  </dxfs>
  <tableStyles count="0" defaultTableStyle="TableStyleMedium9" defaultPivotStyle="PivotStyleLight16"/>
  <colors>
    <mruColors>
      <color rgb="FFCCCCFF"/>
      <color rgb="FFB8FC74"/>
      <color rgb="FF00FF00"/>
      <color rgb="FFCCFF33"/>
      <color rgb="FFFFFF99"/>
      <color rgb="FFFF00FF"/>
      <color rgb="FFFFCC66"/>
      <color rgb="FF9966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simphiwe_sixeki_centlec_co_za/Documents/InspectionFormTest/TariffRelatedStories/TariffApplication%202025-26/Cost%20of%20Supply%202024-2025/Manella-Malesia/Workfiles/Losses%20Solar/Losses%20Stats%202024%202025%20MMM%20Naledi%20Combined%20Solar%20New%20Format.xlsx" TargetMode="External"/><Relationship Id="rId2" Type="http://schemas.microsoft.com/office/2019/04/relationships/externalLinkLongPath" Target="/personal/simphiwe_sixeki_centlec_co_za/Documents/InspectionFormTest/TariffRelatedStories/TariffApplication%202025-26/Cost%20of%20Supply%202024-2025/Manella-Malesia/Workfiles/Losses%20Solar/Losses%20Stats%202024%202025%20MMM%20Naledi%20Combined%20Solar%20New%20Format.xlsx?BE1DEEF3" TargetMode="External"/><Relationship Id="rId1" Type="http://schemas.openxmlformats.org/officeDocument/2006/relationships/externalLinkPath" Target="file:///\\BE1DEEF3\Losses%20Stats%202024%202025%20MMM%20Naledi%20Combined%20Solar%20New%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MMM Main Sheet"/>
      <sheetName val="MMM"/>
      <sheetName val="Naledi"/>
    </sheetNames>
    <sheetDataSet>
      <sheetData sheetId="0">
        <row r="266">
          <cell r="N266">
            <v>11731.039999999999</v>
          </cell>
          <cell r="Q266">
            <v>21552.400000000001</v>
          </cell>
          <cell r="T266">
            <v>26325.88</v>
          </cell>
        </row>
        <row r="291">
          <cell r="N291">
            <v>498992.66</v>
          </cell>
          <cell r="Q291">
            <v>876785.53</v>
          </cell>
          <cell r="T291">
            <v>866382.53</v>
          </cell>
        </row>
        <row r="308">
          <cell r="H308">
            <v>356390.36000000004</v>
          </cell>
        </row>
        <row r="309">
          <cell r="H309">
            <v>315033.44</v>
          </cell>
        </row>
        <row r="310">
          <cell r="H310">
            <v>261794.19999999998</v>
          </cell>
        </row>
        <row r="311">
          <cell r="H311">
            <v>247460.63</v>
          </cell>
        </row>
        <row r="312">
          <cell r="H312">
            <v>234185.49</v>
          </cell>
        </row>
        <row r="313">
          <cell r="H313">
            <v>210240.83000000002</v>
          </cell>
        </row>
        <row r="315">
          <cell r="H315">
            <v>227202.85</v>
          </cell>
        </row>
        <row r="316">
          <cell r="H316">
            <v>223113.60000000001</v>
          </cell>
        </row>
        <row r="333">
          <cell r="H333">
            <v>382368.19</v>
          </cell>
        </row>
        <row r="334">
          <cell r="H334">
            <v>374657.26</v>
          </cell>
        </row>
        <row r="335">
          <cell r="H335">
            <v>293715.58</v>
          </cell>
        </row>
        <row r="336">
          <cell r="H336">
            <v>287146.3</v>
          </cell>
        </row>
        <row r="337">
          <cell r="H337">
            <v>246431.88999999998</v>
          </cell>
        </row>
        <row r="338">
          <cell r="H338">
            <v>191978.12</v>
          </cell>
        </row>
        <row r="340">
          <cell r="H340">
            <v>233043.32</v>
          </cell>
        </row>
        <row r="341">
          <cell r="H341">
            <v>232969.81</v>
          </cell>
        </row>
        <row r="358">
          <cell r="H358">
            <v>4345149.55</v>
          </cell>
          <cell r="I358">
            <v>1621254.03</v>
          </cell>
        </row>
        <row r="359">
          <cell r="H359">
            <v>3976775.75</v>
          </cell>
          <cell r="I359">
            <v>1561864.93</v>
          </cell>
        </row>
        <row r="360">
          <cell r="H360">
            <v>3314651.57</v>
          </cell>
          <cell r="I360">
            <v>1561864.93</v>
          </cell>
        </row>
        <row r="361">
          <cell r="H361">
            <v>3022749.53</v>
          </cell>
          <cell r="I361">
            <v>1561864.93</v>
          </cell>
        </row>
        <row r="362">
          <cell r="H362">
            <v>2519047.02</v>
          </cell>
          <cell r="I362">
            <v>1561864.93</v>
          </cell>
        </row>
        <row r="363">
          <cell r="H363">
            <v>2247498.8199999998</v>
          </cell>
          <cell r="I363">
            <v>1561864.93</v>
          </cell>
        </row>
        <row r="365">
          <cell r="H365">
            <v>2738196.24</v>
          </cell>
          <cell r="I365">
            <v>1561864.93</v>
          </cell>
        </row>
        <row r="366">
          <cell r="H366">
            <v>2738196.24</v>
          </cell>
          <cell r="I366">
            <v>1561864.93</v>
          </cell>
          <cell r="N366">
            <v>1856877.98</v>
          </cell>
          <cell r="Q366">
            <v>2876053.5</v>
          </cell>
          <cell r="T366">
            <v>2640997.9900000002</v>
          </cell>
        </row>
        <row r="383">
          <cell r="H383">
            <v>19626175.810000002</v>
          </cell>
          <cell r="I383">
            <v>8759798.4800000004</v>
          </cell>
        </row>
        <row r="384">
          <cell r="H384">
            <v>18659472.149999999</v>
          </cell>
          <cell r="I384">
            <v>8623012.1699999999</v>
          </cell>
        </row>
        <row r="385">
          <cell r="H385">
            <v>17542770.050000001</v>
          </cell>
          <cell r="I385">
            <v>8536913.1799999997</v>
          </cell>
        </row>
        <row r="386">
          <cell r="H386">
            <v>18355660.620000001</v>
          </cell>
          <cell r="I386">
            <v>8596028.4299999997</v>
          </cell>
        </row>
        <row r="387">
          <cell r="H387">
            <v>18524910.040000003</v>
          </cell>
          <cell r="I387">
            <v>8630793.1799999997</v>
          </cell>
        </row>
        <row r="388">
          <cell r="H388">
            <v>18646775.07</v>
          </cell>
          <cell r="I388">
            <v>8656461.6500000004</v>
          </cell>
        </row>
        <row r="390">
          <cell r="H390">
            <v>18901629.030000001</v>
          </cell>
          <cell r="I390">
            <v>8612016.7300000004</v>
          </cell>
        </row>
        <row r="391">
          <cell r="H391">
            <v>18832772.370000001</v>
          </cell>
          <cell r="I391">
            <v>8612016.7300000004</v>
          </cell>
        </row>
        <row r="408">
          <cell r="H408">
            <v>10022312.25</v>
          </cell>
          <cell r="I408">
            <v>4399898.6900000004</v>
          </cell>
        </row>
        <row r="409">
          <cell r="H409">
            <v>9347784.5700000003</v>
          </cell>
          <cell r="I409">
            <v>4347875.45</v>
          </cell>
        </row>
        <row r="410">
          <cell r="H410">
            <v>8727618.709999999</v>
          </cell>
          <cell r="I410">
            <v>4352898.16</v>
          </cell>
        </row>
        <row r="411">
          <cell r="H411">
            <v>9012516.1400000006</v>
          </cell>
          <cell r="I411">
            <v>4406406.1000000006</v>
          </cell>
        </row>
        <row r="412">
          <cell r="H412">
            <v>9151540.0800000001</v>
          </cell>
          <cell r="I412">
            <v>4493477.54</v>
          </cell>
        </row>
        <row r="413">
          <cell r="H413">
            <v>9357404.7400000002</v>
          </cell>
          <cell r="I413">
            <v>4557754.87</v>
          </cell>
        </row>
        <row r="415">
          <cell r="H415">
            <v>9109737.0999999996</v>
          </cell>
          <cell r="I415">
            <v>4588439.54</v>
          </cell>
        </row>
        <row r="416">
          <cell r="H416">
            <v>9125586.1300000008</v>
          </cell>
          <cell r="I416">
            <v>4593795.6800000006</v>
          </cell>
        </row>
        <row r="515">
          <cell r="N515">
            <v>101310.45</v>
          </cell>
          <cell r="Q515">
            <v>163389.59</v>
          </cell>
          <cell r="T515">
            <v>175511.64</v>
          </cell>
        </row>
        <row r="516">
          <cell r="N516">
            <v>101285.85</v>
          </cell>
          <cell r="Q516">
            <v>163359.59</v>
          </cell>
          <cell r="T516">
            <v>175479.67</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945EC6-B3A7-4236-BB10-CE208EB04C1C}" name="Table1" displayName="Table1" ref="A5:E24" totalsRowShown="0" headerRowDxfId="15" headerRowBorderDxfId="14" tableBorderDxfId="13">
  <tableColumns count="5">
    <tableColumn id="1" xr3:uid="{CFEE85EA-74F5-4B26-B941-72976500D7D7}" name="TARIFF CATEGORIES" dataDxfId="12"/>
    <tableColumn id="2" xr3:uid="{6355111B-A794-4902-8AC8-9C83EEAE729D}" name="NUMBER OF CUSTOMERS" dataDxfId="11" dataCellStyle="Comma"/>
    <tableColumn id="3" xr3:uid="{A571F0B1-3F92-473B-94D2-02E3FEE2FF46}" name="PROJECTED REVENUE PER BUDGET " dataDxfId="10" dataCellStyle="Currency"/>
    <tableColumn id="4" xr3:uid="{62DACDA4-688F-426B-A13B-EA4A0F8DD5A5}" name="AVERAGE TARIFF INCREASE %" dataDxfId="9" dataCellStyle="Percent">
      <calculatedColumnFormula>$E$3</calculatedColumnFormula>
    </tableColumn>
    <tableColumn id="5" xr3:uid="{D95DFD27-3B0F-4F74-95C7-3F90C8C29691}" name="PROJECTED kWh" dataDxfId="8" dataCellStyle="Comma"/>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6B647DE-19F9-44F1-A264-6D7B0B94717A}" name="Table15" displayName="Table15" ref="A5:E25" totalsRowShown="0" headerRowDxfId="7" headerRowBorderDxfId="6" tableBorderDxfId="5">
  <tableColumns count="5">
    <tableColumn id="1" xr3:uid="{25343FED-F5E3-4A42-8C44-349C68F7DC19}" name="TARIFF CATEGORIES" dataDxfId="4"/>
    <tableColumn id="2" xr3:uid="{6220B6A3-4B9C-4238-BDE0-D3F06D73BFA4}" name="NUMBER OF CUSTOMERS" dataDxfId="3" dataCellStyle="Comma"/>
    <tableColumn id="3" xr3:uid="{2553B11A-E390-47A4-B3CB-572112679177}" name="PROJECTED REVENUE PER BUDGET " dataDxfId="2" dataCellStyle="Currency"/>
    <tableColumn id="4" xr3:uid="{CC57AE76-41B6-48AC-88C8-D1A10F25EE8C}" name="AVERAGE TARIFF INCREASE %" dataDxfId="1" dataCellStyle="Percent">
      <calculatedColumnFormula>$E$3</calculatedColumnFormula>
    </tableColumn>
    <tableColumn id="5" xr3:uid="{7E536E65-4F75-405D-BF67-797EB2560447}" name="PROJECTED kWh" dataDxfId="0" dataCellStyle="Comma"/>
  </tableColumns>
  <tableStyleInfo name="TableStyleMedium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34"/>
  <sheetViews>
    <sheetView view="pageBreakPreview" zoomScaleNormal="100" zoomScaleSheetLayoutView="100" workbookViewId="0">
      <selection activeCell="D30" sqref="D30"/>
    </sheetView>
  </sheetViews>
  <sheetFormatPr defaultColWidth="8.6328125" defaultRowHeight="14" x14ac:dyDescent="0.3"/>
  <cols>
    <col min="1" max="1" width="48" style="742" customWidth="1"/>
    <col min="2" max="2" width="15.453125" style="757" customWidth="1"/>
    <col min="3" max="3" width="21.08984375" style="742" customWidth="1"/>
    <col min="4" max="4" width="15.453125" style="756" customWidth="1"/>
    <col min="5" max="5" width="24.08984375" style="742" customWidth="1"/>
    <col min="6" max="6" width="17" style="742" customWidth="1"/>
    <col min="7" max="7" width="8.6328125" style="742"/>
    <col min="8" max="8" width="13.08984375" style="742" bestFit="1" customWidth="1"/>
    <col min="9" max="9" width="12.453125" style="742" bestFit="1" customWidth="1"/>
    <col min="10" max="10" width="8.6328125" style="742"/>
    <col min="11" max="11" width="11.90625" style="742" bestFit="1" customWidth="1"/>
    <col min="12" max="12" width="10.6328125" style="742" bestFit="1" customWidth="1"/>
    <col min="13" max="16384" width="8.6328125" style="742"/>
  </cols>
  <sheetData>
    <row r="1" spans="1:6" ht="20.5" thickBot="1" x14ac:dyDescent="0.45">
      <c r="A1" s="1141" t="s">
        <v>1956</v>
      </c>
      <c r="B1" s="1142"/>
      <c r="C1" s="1142"/>
      <c r="D1" s="1142"/>
      <c r="E1" s="1143"/>
    </row>
    <row r="2" spans="1:6" ht="6" customHeight="1" x14ac:dyDescent="0.4">
      <c r="A2" s="923"/>
      <c r="B2" s="923"/>
      <c r="C2" s="923"/>
      <c r="D2" s="923"/>
      <c r="E2" s="923"/>
    </row>
    <row r="3" spans="1:6" ht="20" thickBot="1" x14ac:dyDescent="0.5">
      <c r="A3" s="1058" t="s">
        <v>1942</v>
      </c>
      <c r="B3" s="1059"/>
      <c r="C3" s="1059"/>
      <c r="D3" s="1059"/>
      <c r="E3" s="1056">
        <f>'MSCOA - Tariff Structure'!T2</f>
        <v>9.9000000000000005E-2</v>
      </c>
      <c r="F3" s="1057"/>
    </row>
    <row r="4" spans="1:6" ht="8.25" customHeight="1" thickTop="1" x14ac:dyDescent="0.3">
      <c r="A4" s="740"/>
      <c r="B4" s="742"/>
      <c r="D4" s="742"/>
    </row>
    <row r="5" spans="1:6" s="740" customFormat="1" ht="62.25" customHeight="1" thickBot="1" x14ac:dyDescent="0.35">
      <c r="A5" s="1021" t="s">
        <v>1472</v>
      </c>
      <c r="B5" s="1022" t="s">
        <v>1439</v>
      </c>
      <c r="C5" s="1021" t="s">
        <v>1473</v>
      </c>
      <c r="D5" s="1023" t="s">
        <v>1474</v>
      </c>
      <c r="E5" s="1024" t="s">
        <v>1939</v>
      </c>
      <c r="F5" s="1057"/>
    </row>
    <row r="6" spans="1:6" s="740" customFormat="1" ht="14.5" thickBot="1" x14ac:dyDescent="0.35">
      <c r="A6" s="924" t="str">
        <f>MID('MSCOA - Tariff Structure'!O8,5,20)</f>
        <v>INDIGENT - FBE</v>
      </c>
      <c r="B6" s="976">
        <v>43910</v>
      </c>
      <c r="C6" s="977">
        <f>'Tariff Rand Values 2026-27'!I3</f>
        <v>66693310.991091214</v>
      </c>
      <c r="D6" s="928">
        <f t="shared" ref="D6:D22" si="0">$E$3</f>
        <v>9.9000000000000005E-2</v>
      </c>
      <c r="E6" s="929">
        <f>Table1[[#This Row],[NUMBER OF CUSTOMERS]]*12*50</f>
        <v>26346000</v>
      </c>
    </row>
    <row r="7" spans="1:6" s="740" customFormat="1" x14ac:dyDescent="0.3">
      <c r="A7" s="925" t="s">
        <v>1955</v>
      </c>
      <c r="B7" s="932"/>
      <c r="C7" s="978">
        <f>'Tariff Rand Values 2026-27'!I4+'Tariff Rand Values 2026-27'!I5</f>
        <v>122245013.92137748</v>
      </c>
      <c r="D7" s="928">
        <f>$E$3</f>
        <v>9.9000000000000005E-2</v>
      </c>
      <c r="E7" s="929">
        <v>46368000</v>
      </c>
    </row>
    <row r="8" spans="1:6" x14ac:dyDescent="0.3">
      <c r="A8" s="925" t="str">
        <f>MID('MSCOA - Tariff Structure'!O14,5,30)</f>
        <v xml:space="preserve">DOMESTIC IBT CONVENTIONAL </v>
      </c>
      <c r="B8" s="932">
        <v>116</v>
      </c>
      <c r="C8" s="978">
        <f>'Tariff Rand Values 2026-27'!I14</f>
        <v>26096967.559990466</v>
      </c>
      <c r="D8" s="930">
        <f t="shared" si="0"/>
        <v>9.9000000000000005E-2</v>
      </c>
      <c r="E8" s="931">
        <v>3700148.98845845</v>
      </c>
    </row>
    <row r="9" spans="1:6" x14ac:dyDescent="0.3">
      <c r="A9" s="925" t="str">
        <f>MID('MSCOA - Tariff Structure'!O18,5,30)</f>
        <v>DOMESTIC IBT PREPAID</v>
      </c>
      <c r="B9" s="932">
        <v>153325</v>
      </c>
      <c r="C9" s="978">
        <f>'Tariff Rand Values 2026-27'!I10</f>
        <v>1910528638.7970724</v>
      </c>
      <c r="D9" s="930">
        <f t="shared" si="0"/>
        <v>9.9000000000000005E-2</v>
      </c>
      <c r="E9" s="931">
        <v>521858389.23795676</v>
      </c>
    </row>
    <row r="10" spans="1:6" x14ac:dyDescent="0.3">
      <c r="A10" s="925" t="str">
        <f>MID('MSCOA - Tariff Structure'!O22,5,30)</f>
        <v>HOMEFLEX SINGLE PHASE</v>
      </c>
      <c r="B10" s="922">
        <v>69</v>
      </c>
      <c r="C10" s="978">
        <f>'Tariff Rand Values 2026-27'!I18</f>
        <v>1158677.0653786785</v>
      </c>
      <c r="D10" s="930">
        <f t="shared" si="0"/>
        <v>9.9000000000000005E-2</v>
      </c>
      <c r="E10" s="931">
        <v>1019566.689336</v>
      </c>
    </row>
    <row r="11" spans="1:6" x14ac:dyDescent="0.3">
      <c r="A11" s="925" t="str">
        <f>MID('MSCOA - Tariff Structure'!O30,5,30)</f>
        <v>HOMEFLEX THREE PHASE</v>
      </c>
      <c r="B11" s="922">
        <v>171</v>
      </c>
      <c r="C11" s="978">
        <f>'Tariff Rand Values 2026-27'!I23</f>
        <v>41260457.994058296</v>
      </c>
      <c r="D11" s="930">
        <f t="shared" si="0"/>
        <v>9.9000000000000005E-2</v>
      </c>
      <c r="E11" s="931">
        <v>12685917.116244907</v>
      </c>
    </row>
    <row r="12" spans="1:6" x14ac:dyDescent="0.3">
      <c r="A12" s="925" t="str">
        <f>MID('MSCOA - Tariff Structure'!O38,5,30)</f>
        <v>BULK RESELL 2</v>
      </c>
      <c r="B12" s="922">
        <v>28</v>
      </c>
      <c r="C12" s="978">
        <f>'Tariff Rand Values 2026-27'!I65</f>
        <v>93432471.159511045</v>
      </c>
      <c r="D12" s="930">
        <f>$E$3</f>
        <v>9.9000000000000005E-2</v>
      </c>
      <c r="E12" s="931">
        <v>30067709.490000002</v>
      </c>
    </row>
    <row r="13" spans="1:6" x14ac:dyDescent="0.3">
      <c r="A13" s="925" t="str">
        <f>MID('MSCOA - Tariff Structure'!O47,5,30)</f>
        <v>BULK RESELL 3</v>
      </c>
      <c r="B13" s="922">
        <v>142</v>
      </c>
      <c r="C13" s="978">
        <f>'Tariff Rand Values 2026-27'!I71</f>
        <v>125105370.19433472</v>
      </c>
      <c r="D13" s="930">
        <f t="shared" si="0"/>
        <v>9.9000000000000005E-2</v>
      </c>
      <c r="E13" s="931">
        <v>37356714.518463999</v>
      </c>
    </row>
    <row r="14" spans="1:6" x14ac:dyDescent="0.3">
      <c r="A14" s="925" t="str">
        <f>MID('MSCOA - Tariff Structure'!O56,5,31)</f>
        <v>BUSINESS FLAT RATE CONVENTIONAL</v>
      </c>
      <c r="B14" s="922">
        <v>228</v>
      </c>
      <c r="C14" s="978">
        <f>'Tariff Rand Values 2026-27'!I31</f>
        <v>43455225.003553346</v>
      </c>
      <c r="D14" s="930">
        <f t="shared" si="0"/>
        <v>9.9000000000000005E-2</v>
      </c>
      <c r="E14" s="931">
        <v>8427590.9015760012</v>
      </c>
    </row>
    <row r="15" spans="1:6" x14ac:dyDescent="0.3">
      <c r="A15" s="925" t="str">
        <f>MID('MSCOA - Tariff Structure'!O60,5,31)</f>
        <v>BUSINESS FLAT RATE PREPAID</v>
      </c>
      <c r="B15" s="922">
        <v>3710</v>
      </c>
      <c r="C15" s="978">
        <f>'Tariff Rand Values 2026-27'!I28</f>
        <v>192191021.884624</v>
      </c>
      <c r="D15" s="930">
        <f t="shared" si="0"/>
        <v>9.9000000000000005E-2</v>
      </c>
      <c r="E15" s="931">
        <v>51536398.143056147</v>
      </c>
    </row>
    <row r="16" spans="1:6" x14ac:dyDescent="0.3">
      <c r="A16" s="925" t="str">
        <f>MID('MSCOA - Tariff Structure'!O64,5,31)</f>
        <v>COMFLEX SINGLE PHASE</v>
      </c>
      <c r="B16" s="922">
        <v>68</v>
      </c>
      <c r="C16" s="978">
        <f>'Tariff Rand Values 2026-27'!I34</f>
        <v>1963747.5012996024</v>
      </c>
      <c r="D16" s="930">
        <f t="shared" si="0"/>
        <v>9.9000000000000005E-2</v>
      </c>
      <c r="E16" s="931">
        <v>807132.48036164546</v>
      </c>
    </row>
    <row r="17" spans="1:8" x14ac:dyDescent="0.3">
      <c r="A17" s="925" t="str">
        <f>MID('MSCOA - Tariff Structure'!O72,5,31)</f>
        <v>COMFLEX THREE PHASE</v>
      </c>
      <c r="B17" s="922">
        <v>1142</v>
      </c>
      <c r="C17" s="978">
        <f>'Tariff Rand Values 2026-27'!I39</f>
        <v>121209119.13138197</v>
      </c>
      <c r="D17" s="930">
        <f t="shared" si="0"/>
        <v>9.9000000000000005E-2</v>
      </c>
      <c r="E17" s="931">
        <v>56921443.563172318</v>
      </c>
    </row>
    <row r="18" spans="1:8" x14ac:dyDescent="0.3">
      <c r="A18" s="925" t="str">
        <f>MID('MSCOA - Tariff Structure'!O80,5,31)</f>
        <v>ELECFLEX 1</v>
      </c>
      <c r="B18" s="922">
        <v>3</v>
      </c>
      <c r="C18" s="978">
        <f>'Tariff Rand Values 2026-27'!I44</f>
        <v>200139044.96859339</v>
      </c>
      <c r="D18" s="930">
        <f t="shared" si="0"/>
        <v>9.9000000000000005E-2</v>
      </c>
      <c r="E18" s="931">
        <v>68367433.803719997</v>
      </c>
    </row>
    <row r="19" spans="1:8" x14ac:dyDescent="0.3">
      <c r="A19" s="925" t="str">
        <f>MID('MSCOA - Tariff Structure'!O90,5,31)</f>
        <v>ELECFLEX 2</v>
      </c>
      <c r="B19" s="922">
        <v>165</v>
      </c>
      <c r="C19" s="978">
        <f>'Tariff Rand Values 2026-27'!I51</f>
        <v>1139046810.372412</v>
      </c>
      <c r="D19" s="930">
        <f t="shared" si="0"/>
        <v>9.9000000000000005E-2</v>
      </c>
      <c r="E19" s="931">
        <v>330203989.87109298</v>
      </c>
    </row>
    <row r="20" spans="1:8" x14ac:dyDescent="0.3">
      <c r="A20" s="925" t="str">
        <f>MID('MSCOA - Tariff Structure'!O100,5,31)</f>
        <v>ELECFLEX 3</v>
      </c>
      <c r="B20" s="922">
        <v>621</v>
      </c>
      <c r="C20" s="978">
        <f>'Tariff Rand Values 2026-27'!I58</f>
        <v>486353394.60936552</v>
      </c>
      <c r="D20" s="930">
        <f t="shared" si="0"/>
        <v>9.9000000000000005E-2</v>
      </c>
      <c r="E20" s="931">
        <v>144103835.17816001</v>
      </c>
      <c r="H20" s="742" t="s">
        <v>1957</v>
      </c>
    </row>
    <row r="21" spans="1:8" x14ac:dyDescent="0.3">
      <c r="A21" s="925" t="str">
        <f>MID('MSCOA - Tariff Structure'!O113,5,31)</f>
        <v>DEPARTMENTAL TIME OF USE</v>
      </c>
      <c r="B21" s="922">
        <v>7</v>
      </c>
      <c r="C21" s="978">
        <f>'Tariff Rand Values 2026-27'!I81</f>
        <v>2485549.5735808411</v>
      </c>
      <c r="D21" s="930">
        <f t="shared" si="0"/>
        <v>9.9000000000000005E-2</v>
      </c>
      <c r="E21" s="931">
        <v>761665.09860000003</v>
      </c>
      <c r="G21" s="1114"/>
    </row>
    <row r="22" spans="1:8" x14ac:dyDescent="0.3">
      <c r="A22" s="925" t="str">
        <f>MID('MSCOA - Tariff Structure'!O120,5,31)</f>
        <v>SPORTS STADIUMS TIME OF USE</v>
      </c>
      <c r="B22" s="922">
        <v>8</v>
      </c>
      <c r="C22" s="978">
        <f>'Tariff Rand Values 2026-27'!I77</f>
        <v>8912983.7998077571</v>
      </c>
      <c r="D22" s="930">
        <f t="shared" si="0"/>
        <v>9.9000000000000005E-2</v>
      </c>
      <c r="E22" s="931">
        <v>2166583.22130987</v>
      </c>
      <c r="G22" s="1114"/>
    </row>
    <row r="23" spans="1:8" x14ac:dyDescent="0.3">
      <c r="A23" s="926" t="s">
        <v>1954</v>
      </c>
      <c r="B23" s="927"/>
      <c r="C23" s="979">
        <f>'Tariff Rand Values 2026-27'!I89</f>
        <v>163007355.06509972</v>
      </c>
      <c r="D23" s="930">
        <f>$E$3</f>
        <v>9.9000000000000005E-2</v>
      </c>
      <c r="E23" s="1128">
        <v>86785995</v>
      </c>
      <c r="G23" s="1114"/>
    </row>
    <row r="24" spans="1:8" x14ac:dyDescent="0.3">
      <c r="A24" s="926" t="s">
        <v>1919</v>
      </c>
      <c r="B24" s="927"/>
      <c r="C24" s="979" t="s">
        <v>1633</v>
      </c>
      <c r="D24" s="930" t="s">
        <v>1633</v>
      </c>
      <c r="E24" s="1128" t="s">
        <v>1633</v>
      </c>
      <c r="G24" s="1114"/>
    </row>
    <row r="25" spans="1:8" ht="19.5" customHeight="1" thickBot="1" x14ac:dyDescent="0.4">
      <c r="A25" s="1025" t="s">
        <v>1436</v>
      </c>
      <c r="B25" s="1129">
        <f>SUM(B6:B24)</f>
        <v>203713</v>
      </c>
      <c r="C25" s="1130">
        <f>SUM(C6:C24)</f>
        <v>4745285159.5925322</v>
      </c>
      <c r="D25" s="1026">
        <f>AVERAGE(D8:D22)</f>
        <v>9.8999999999999991E-2</v>
      </c>
      <c r="E25" s="1129">
        <f>SUM(E6:E24)</f>
        <v>1429484513.3015089</v>
      </c>
    </row>
    <row r="26" spans="1:8" ht="14.5" thickTop="1" x14ac:dyDescent="0.3">
      <c r="C26" s="799"/>
      <c r="E26" s="762"/>
    </row>
    <row r="27" spans="1:8" x14ac:dyDescent="0.3">
      <c r="E27" s="762"/>
    </row>
    <row r="28" spans="1:8" x14ac:dyDescent="0.3">
      <c r="E28" s="762"/>
    </row>
    <row r="29" spans="1:8" x14ac:dyDescent="0.3">
      <c r="E29" s="762"/>
    </row>
    <row r="30" spans="1:8" x14ac:dyDescent="0.3">
      <c r="E30" s="762"/>
    </row>
    <row r="31" spans="1:8" x14ac:dyDescent="0.3">
      <c r="E31" s="762"/>
    </row>
    <row r="32" spans="1:8" x14ac:dyDescent="0.3">
      <c r="E32" s="762"/>
    </row>
    <row r="33" spans="5:5" x14ac:dyDescent="0.3">
      <c r="E33" s="762"/>
    </row>
    <row r="34" spans="5:5" x14ac:dyDescent="0.3">
      <c r="E34" s="762"/>
    </row>
  </sheetData>
  <mergeCells count="1">
    <mergeCell ref="A1:E1"/>
  </mergeCells>
  <pageMargins left="0.70866141732283472" right="0.70866141732283472" top="0.74803149606299213" bottom="0.74803149606299213" header="0.31496062992125984" footer="0.31496062992125984"/>
  <pageSetup paperSize="9" scale="71" orientation="portrait" horizontalDpi="2400" verticalDpi="2400"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2F38-54BA-483B-8EFE-5002BE35F72D}">
  <sheetPr>
    <tabColor rgb="FF00FF00"/>
  </sheetPr>
  <dimension ref="A1:AB95"/>
  <sheetViews>
    <sheetView topLeftCell="B1" workbookViewId="0">
      <selection activeCell="K11" sqref="K11"/>
    </sheetView>
  </sheetViews>
  <sheetFormatPr defaultColWidth="8.6328125" defaultRowHeight="14.5" x14ac:dyDescent="0.35"/>
  <cols>
    <col min="1" max="1" width="19.36328125" style="245" customWidth="1"/>
    <col min="2" max="2" width="13.6328125" style="245" customWidth="1"/>
    <col min="3" max="8" width="0" style="245" hidden="1" customWidth="1"/>
    <col min="9" max="9" width="15.36328125" style="588" customWidth="1"/>
    <col min="10" max="21" width="14.90625" style="594" bestFit="1" customWidth="1"/>
    <col min="22" max="22" width="17.54296875" style="594" customWidth="1"/>
    <col min="23" max="23" width="19.453125" style="594" customWidth="1"/>
    <col min="24" max="24" width="0" style="245" hidden="1" customWidth="1"/>
    <col min="25" max="25" width="8.6328125" style="245"/>
    <col min="26" max="26" width="15.6328125" style="245" bestFit="1" customWidth="1"/>
    <col min="27" max="27" width="14.36328125" style="245" bestFit="1" customWidth="1"/>
    <col min="28" max="28" width="15.453125" style="245" bestFit="1" customWidth="1"/>
    <col min="29" max="16384" width="8.6328125" style="245"/>
  </cols>
  <sheetData>
    <row r="1" spans="1:28" s="247" customFormat="1" x14ac:dyDescent="0.35">
      <c r="A1" s="247" t="s">
        <v>531</v>
      </c>
      <c r="B1" s="247" t="s">
        <v>532</v>
      </c>
      <c r="C1" s="247" t="s">
        <v>548</v>
      </c>
      <c r="D1" s="247" t="s">
        <v>549</v>
      </c>
      <c r="E1" s="247" t="s">
        <v>548</v>
      </c>
      <c r="F1" s="247" t="s">
        <v>549</v>
      </c>
      <c r="G1" s="247" t="s">
        <v>1429</v>
      </c>
      <c r="H1" s="247" t="s">
        <v>1429</v>
      </c>
      <c r="I1" s="585" t="s">
        <v>282</v>
      </c>
      <c r="J1" s="585" t="s">
        <v>521</v>
      </c>
      <c r="K1" s="585" t="s">
        <v>522</v>
      </c>
      <c r="L1" s="585" t="s">
        <v>523</v>
      </c>
      <c r="M1" s="585" t="s">
        <v>524</v>
      </c>
      <c r="N1" s="585" t="s">
        <v>525</v>
      </c>
      <c r="O1" s="585" t="s">
        <v>526</v>
      </c>
      <c r="P1" s="585" t="s">
        <v>527</v>
      </c>
      <c r="Q1" s="585" t="s">
        <v>528</v>
      </c>
      <c r="R1" s="585" t="s">
        <v>540</v>
      </c>
      <c r="S1" s="585" t="s">
        <v>541</v>
      </c>
      <c r="T1" s="585" t="s">
        <v>529</v>
      </c>
      <c r="U1" s="585" t="s">
        <v>530</v>
      </c>
      <c r="V1" s="586" t="s">
        <v>281</v>
      </c>
      <c r="W1" s="586" t="s">
        <v>280</v>
      </c>
    </row>
    <row r="2" spans="1:28" x14ac:dyDescent="0.35">
      <c r="A2" s="247" t="s">
        <v>1520</v>
      </c>
      <c r="I2" s="601">
        <f>SUM(I3:I5)</f>
        <v>98123435.975311905</v>
      </c>
      <c r="J2" s="602"/>
      <c r="K2" s="602"/>
      <c r="L2" s="602"/>
      <c r="M2" s="602"/>
      <c r="N2" s="602"/>
      <c r="O2" s="602"/>
      <c r="P2" s="602"/>
      <c r="Q2" s="602"/>
      <c r="R2" s="602"/>
      <c r="S2" s="602"/>
      <c r="T2" s="602"/>
      <c r="U2" s="602"/>
      <c r="V2" s="603"/>
      <c r="W2" s="603"/>
    </row>
    <row r="3" spans="1:28" x14ac:dyDescent="0.35">
      <c r="A3" s="312" t="s">
        <v>309</v>
      </c>
      <c r="B3" s="312" t="s">
        <v>307</v>
      </c>
      <c r="C3" s="312" t="s">
        <v>824</v>
      </c>
      <c r="D3" s="312" t="s">
        <v>825</v>
      </c>
      <c r="E3" s="245" t="s">
        <v>824</v>
      </c>
      <c r="F3" s="245" t="s">
        <v>825</v>
      </c>
      <c r="I3" s="723">
        <f>SUM(J3:U3)</f>
        <v>962399.55518036219</v>
      </c>
      <c r="J3" s="638">
        <f>'Tariff SUMMARY 26-27'!$B$6*'Annexure A'!$M$6</f>
        <v>95427.391469776296</v>
      </c>
      <c r="K3" s="638">
        <f>'Tariff SUMMARY 26-27'!$B$6*'Annexure A'!$M$6</f>
        <v>95427.391469776296</v>
      </c>
      <c r="L3" s="638">
        <f>'Tariff SUMMARY 26-27'!$B$6*'Annexure A'!$L$6</f>
        <v>75124.153419003705</v>
      </c>
      <c r="M3" s="638">
        <f>'Tariff SUMMARY 26-27'!$B$6*'Annexure A'!$L$6</f>
        <v>75124.153419003705</v>
      </c>
      <c r="N3" s="638">
        <f>'Tariff SUMMARY 26-27'!$B$6*'Annexure A'!$L$6</f>
        <v>75124.153419003705</v>
      </c>
      <c r="O3" s="638">
        <f>'Tariff SUMMARY 26-27'!$B$6*'Annexure A'!$L$6</f>
        <v>75124.153419003705</v>
      </c>
      <c r="P3" s="638">
        <f>'Tariff SUMMARY 26-27'!$B$6*'Annexure A'!$L$6</f>
        <v>75124.153419003705</v>
      </c>
      <c r="Q3" s="638">
        <f>'Tariff SUMMARY 26-27'!$B$6*'Annexure A'!$L$6</f>
        <v>75124.153419003705</v>
      </c>
      <c r="R3" s="638">
        <f>'Tariff SUMMARY 26-27'!$B$6*'Annexure A'!$L$6</f>
        <v>75124.153419003705</v>
      </c>
      <c r="S3" s="638">
        <f>'Tariff SUMMARY 26-27'!$B$6*'Annexure A'!$L$6</f>
        <v>75124.153419003705</v>
      </c>
      <c r="T3" s="638">
        <f>'Tariff SUMMARY 26-27'!$B$6*'Annexure A'!$L$6</f>
        <v>75124.153419003705</v>
      </c>
      <c r="U3" s="638">
        <f>'Tariff SUMMARY 26-27'!$B$6*'Annexure A'!$M$6</f>
        <v>95427.391469776296</v>
      </c>
      <c r="V3" s="628">
        <f>SUM(L3:T3)</f>
        <v>676117.38077103335</v>
      </c>
      <c r="W3" s="628">
        <f>U3+J3+K3</f>
        <v>286282.1744093289</v>
      </c>
      <c r="Z3" s="270">
        <f>V3+V7</f>
        <v>677869.18843239336</v>
      </c>
      <c r="AA3" s="270">
        <f>W3+W7</f>
        <v>287023.92624222685</v>
      </c>
      <c r="AB3" s="382">
        <f>SUM(Z3:AA3)</f>
        <v>964893.11467462021</v>
      </c>
    </row>
    <row r="4" spans="1:28" x14ac:dyDescent="0.35">
      <c r="A4" s="312" t="s">
        <v>309</v>
      </c>
      <c r="B4" s="312" t="s">
        <v>307</v>
      </c>
      <c r="C4" s="312" t="s">
        <v>824</v>
      </c>
      <c r="D4" s="312" t="s">
        <v>825</v>
      </c>
      <c r="E4" s="245" t="s">
        <v>824</v>
      </c>
      <c r="F4" s="245" t="s">
        <v>825</v>
      </c>
      <c r="I4" s="604">
        <f>SUM(J4:U4)</f>
        <v>61098075.047706999</v>
      </c>
      <c r="J4" s="603">
        <v>6304593.1844471125</v>
      </c>
      <c r="K4" s="603">
        <v>3640151.3884117482</v>
      </c>
      <c r="L4" s="603">
        <v>3798448.7094004154</v>
      </c>
      <c r="M4" s="603">
        <v>3723148.6546810679</v>
      </c>
      <c r="N4" s="603">
        <v>3138095.5908840606</v>
      </c>
      <c r="O4" s="603">
        <v>5606218.3385502677</v>
      </c>
      <c r="P4" s="603">
        <v>5205306.9225726519</v>
      </c>
      <c r="Q4" s="603">
        <v>5110834.1648812434</v>
      </c>
      <c r="R4" s="603">
        <v>5716816.7392407646</v>
      </c>
      <c r="S4" s="603">
        <v>5603081.7251621764</v>
      </c>
      <c r="T4" s="603">
        <v>5883579.6158224009</v>
      </c>
      <c r="U4" s="603">
        <v>7367800.0136530902</v>
      </c>
      <c r="V4" s="605">
        <f>SUM(L4:T4)</f>
        <v>43785530.461195052</v>
      </c>
      <c r="W4" s="605">
        <f>U4+J4+K4</f>
        <v>17312544.586511951</v>
      </c>
      <c r="X4" s="245">
        <f>+W4+V4+V5+W5+V8+V9+W8+W9</f>
        <v>97233383.997411683</v>
      </c>
    </row>
    <row r="5" spans="1:28" x14ac:dyDescent="0.35">
      <c r="A5" s="312" t="s">
        <v>309</v>
      </c>
      <c r="B5" s="312" t="s">
        <v>307</v>
      </c>
      <c r="C5" s="312" t="s">
        <v>824</v>
      </c>
      <c r="D5" s="312" t="s">
        <v>825</v>
      </c>
      <c r="I5" s="604">
        <f>SUM(J5:U5)</f>
        <v>36062961.372424535</v>
      </c>
      <c r="J5" s="603">
        <v>5659637.6251184363</v>
      </c>
      <c r="K5" s="603">
        <v>647070.91147963214</v>
      </c>
      <c r="L5" s="603">
        <v>2069434.9424253835</v>
      </c>
      <c r="M5" s="603">
        <v>2289375.9023660724</v>
      </c>
      <c r="N5" s="603">
        <v>2278671.6885156161</v>
      </c>
      <c r="O5" s="603">
        <v>3278505.5375185129</v>
      </c>
      <c r="P5" s="603">
        <v>3044040.105364291</v>
      </c>
      <c r="Q5" s="603">
        <v>2989160.6808962426</v>
      </c>
      <c r="R5" s="603">
        <v>3343465.2853086945</v>
      </c>
      <c r="S5" s="603">
        <v>3276856.6366459429</v>
      </c>
      <c r="T5" s="603">
        <v>3440807.7918511122</v>
      </c>
      <c r="U5" s="603">
        <v>3745934.2649346003</v>
      </c>
      <c r="V5" s="605">
        <f>SUM(L5:T5)</f>
        <v>26010318.570891865</v>
      </c>
      <c r="W5" s="605">
        <f>U5+J5+K5</f>
        <v>10052642.801532669</v>
      </c>
    </row>
    <row r="6" spans="1:28" x14ac:dyDescent="0.35">
      <c r="A6" s="247" t="s">
        <v>1521</v>
      </c>
      <c r="I6" s="825">
        <f>SUM(I7:I9)</f>
        <v>74841.136774402519</v>
      </c>
      <c r="J6" s="602"/>
      <c r="K6" s="602"/>
      <c r="L6" s="602"/>
      <c r="M6" s="602"/>
      <c r="N6" s="602"/>
      <c r="O6" s="602"/>
      <c r="P6" s="602"/>
      <c r="Q6" s="602"/>
      <c r="R6" s="602"/>
      <c r="S6" s="602"/>
      <c r="T6" s="602"/>
      <c r="U6" s="602"/>
      <c r="V6" s="603">
        <f>V5+V4+V3</f>
        <v>70471966.412857935</v>
      </c>
      <c r="W6" s="603">
        <f>W5+W4+W3</f>
        <v>27651469.562453948</v>
      </c>
    </row>
    <row r="7" spans="1:28" x14ac:dyDescent="0.35">
      <c r="A7" s="312" t="s">
        <v>309</v>
      </c>
      <c r="B7" s="312" t="s">
        <v>307</v>
      </c>
      <c r="C7" s="312" t="s">
        <v>824</v>
      </c>
      <c r="D7" s="312" t="s">
        <v>825</v>
      </c>
      <c r="E7" s="245" t="s">
        <v>824</v>
      </c>
      <c r="F7" s="245" t="s">
        <v>825</v>
      </c>
      <c r="I7" s="604">
        <f>SUM(J7:U7)</f>
        <v>2493.5594942580242</v>
      </c>
      <c r="J7" s="638">
        <v>247.25061096598608</v>
      </c>
      <c r="K7" s="638">
        <v>247.25061096598608</v>
      </c>
      <c r="L7" s="638">
        <v>194.64529570667389</v>
      </c>
      <c r="M7" s="638">
        <v>194.64529570667389</v>
      </c>
      <c r="N7" s="638">
        <v>194.64529570667389</v>
      </c>
      <c r="O7" s="638">
        <v>194.64529570667389</v>
      </c>
      <c r="P7" s="638">
        <v>194.64529570667389</v>
      </c>
      <c r="Q7" s="638">
        <v>194.64529570667389</v>
      </c>
      <c r="R7" s="638">
        <v>194.64529570667389</v>
      </c>
      <c r="S7" s="638">
        <v>194.64529570667389</v>
      </c>
      <c r="T7" s="638">
        <v>194.64529570667389</v>
      </c>
      <c r="U7" s="638">
        <v>247.25061096598608</v>
      </c>
      <c r="V7" s="628">
        <f>SUM(L7:T7)</f>
        <v>1751.8076613600651</v>
      </c>
      <c r="W7" s="628">
        <f>U7+J7+K7</f>
        <v>741.75183289795825</v>
      </c>
      <c r="X7" s="245">
        <f>+W7+V7</f>
        <v>2493.5594942580233</v>
      </c>
    </row>
    <row r="8" spans="1:28" x14ac:dyDescent="0.35">
      <c r="A8" s="312" t="s">
        <v>309</v>
      </c>
      <c r="B8" s="312" t="s">
        <v>307</v>
      </c>
      <c r="C8" s="312" t="s">
        <v>824</v>
      </c>
      <c r="D8" s="312" t="s">
        <v>825</v>
      </c>
      <c r="E8" s="245" t="s">
        <v>824</v>
      </c>
      <c r="F8" s="245" t="s">
        <v>825</v>
      </c>
      <c r="I8" s="604">
        <f>SUM(J8:U8)</f>
        <v>39260.024153137529</v>
      </c>
      <c r="J8" s="603">
        <v>6267.3738191559123</v>
      </c>
      <c r="K8" s="603">
        <v>6248.0683772487218</v>
      </c>
      <c r="L8" s="603">
        <v>3218.0956091016119</v>
      </c>
      <c r="M8" s="603">
        <v>2891.9825276818287</v>
      </c>
      <c r="N8" s="603">
        <v>3197.8338977528092</v>
      </c>
      <c r="O8" s="603">
        <v>2891.9825276818287</v>
      </c>
      <c r="P8" s="603">
        <v>2938.7854063759646</v>
      </c>
      <c r="Q8" s="603">
        <v>2873.4790640120541</v>
      </c>
      <c r="R8" s="603">
        <v>2829.9415024361138</v>
      </c>
      <c r="S8" s="603">
        <v>2786.4039408601739</v>
      </c>
      <c r="T8" s="603">
        <v>2086.4539124469807</v>
      </c>
      <c r="U8" s="603">
        <v>1029.6235683835164</v>
      </c>
      <c r="V8" s="605">
        <f>SUM(L8:T8)</f>
        <v>25714.958388349369</v>
      </c>
      <c r="W8" s="605">
        <f>U8+J8+K8</f>
        <v>13545.065764788151</v>
      </c>
      <c r="X8" s="245">
        <f>+V8+W8</f>
        <v>39260.024153137521</v>
      </c>
    </row>
    <row r="9" spans="1:28" x14ac:dyDescent="0.35">
      <c r="A9" s="312" t="s">
        <v>309</v>
      </c>
      <c r="B9" s="312" t="s">
        <v>307</v>
      </c>
      <c r="C9" s="312" t="s">
        <v>824</v>
      </c>
      <c r="D9" s="312" t="s">
        <v>825</v>
      </c>
      <c r="I9" s="604">
        <f>SUM(J9:U9)</f>
        <v>33087.553127006977</v>
      </c>
      <c r="J9" s="603">
        <v>4960.4719357967551</v>
      </c>
      <c r="K9" s="603">
        <v>4968.9780322856877</v>
      </c>
      <c r="L9" s="603">
        <v>2943.1600940535468</v>
      </c>
      <c r="M9" s="603">
        <v>2726.9932113691793</v>
      </c>
      <c r="N9" s="603">
        <v>2346.7588638144352</v>
      </c>
      <c r="O9" s="603">
        <v>2524.9937142307222</v>
      </c>
      <c r="P9" s="603">
        <v>2227.9356302035781</v>
      </c>
      <c r="Q9" s="603">
        <v>1871.4659293710054</v>
      </c>
      <c r="R9" s="603">
        <v>2970.5808402714379</v>
      </c>
      <c r="S9" s="603">
        <v>2970.5808402714379</v>
      </c>
      <c r="T9" s="603">
        <v>1757.7401421724476</v>
      </c>
      <c r="U9" s="603">
        <v>817.8938931667434</v>
      </c>
      <c r="V9" s="605">
        <f>SUM(L9:T9)</f>
        <v>22340.209265757789</v>
      </c>
      <c r="W9" s="605">
        <f>U9+J9+K9</f>
        <v>10747.343861249186</v>
      </c>
      <c r="X9" s="245">
        <f>+V9+W9</f>
        <v>33087.553127006977</v>
      </c>
    </row>
    <row r="10" spans="1:28" x14ac:dyDescent="0.35">
      <c r="A10" s="247" t="s">
        <v>1484</v>
      </c>
      <c r="I10" s="601">
        <f>SUM(I11:I12)</f>
        <v>1415310906.1982634</v>
      </c>
      <c r="J10" s="602"/>
      <c r="K10" s="602">
        <v>180282661.36173654</v>
      </c>
      <c r="L10" s="602"/>
      <c r="M10" s="602"/>
      <c r="N10" s="602"/>
      <c r="O10" s="602"/>
      <c r="P10" s="602"/>
      <c r="Q10" s="602"/>
      <c r="R10" s="602"/>
      <c r="S10" s="602"/>
      <c r="T10" s="602"/>
      <c r="U10" s="602"/>
      <c r="V10" s="838">
        <f>V9+V8+V7</f>
        <v>49806.975315467222</v>
      </c>
      <c r="W10" s="838">
        <f>W9+W8+W7</f>
        <v>25034.161458935294</v>
      </c>
      <c r="X10" s="245">
        <f>+X9+X8</f>
        <v>72347.577280144498</v>
      </c>
    </row>
    <row r="11" spans="1:28" x14ac:dyDescent="0.35">
      <c r="A11" s="312" t="s">
        <v>305</v>
      </c>
      <c r="B11" s="312" t="s">
        <v>252</v>
      </c>
      <c r="C11" s="312" t="s">
        <v>1042</v>
      </c>
      <c r="D11" s="312" t="s">
        <v>1045</v>
      </c>
      <c r="E11" s="245" t="s">
        <v>1042</v>
      </c>
      <c r="F11" s="245" t="s">
        <v>1045</v>
      </c>
      <c r="I11" s="604">
        <f>SUM(J11:U11)</f>
        <v>1067817845.078546</v>
      </c>
      <c r="J11" s="603">
        <v>111552455.47671607</v>
      </c>
      <c r="K11" s="603">
        <v>109231325.39758596</v>
      </c>
      <c r="L11" s="603">
        <v>101860435.84316929</v>
      </c>
      <c r="M11" s="603">
        <v>102468053.7709851</v>
      </c>
      <c r="N11" s="603">
        <v>102791577.71533431</v>
      </c>
      <c r="O11" s="603">
        <v>100428855.56374562</v>
      </c>
      <c r="P11" s="603">
        <v>95971039.799929678</v>
      </c>
      <c r="Q11" s="603">
        <v>46176453.484457001</v>
      </c>
      <c r="R11" s="603">
        <v>46325524.186948717</v>
      </c>
      <c r="S11" s="603">
        <v>45098091.973235086</v>
      </c>
      <c r="T11" s="603">
        <v>103976271.36123163</v>
      </c>
      <c r="U11" s="603">
        <v>101937760.50520758</v>
      </c>
      <c r="V11" s="605">
        <f>SUM(L11:T11)</f>
        <v>745096303.69903636</v>
      </c>
      <c r="W11" s="605">
        <f>U11+J11+K11</f>
        <v>322721541.37950957</v>
      </c>
    </row>
    <row r="12" spans="1:28" x14ac:dyDescent="0.35">
      <c r="A12" s="312" t="s">
        <v>305</v>
      </c>
      <c r="B12" s="312" t="s">
        <v>252</v>
      </c>
      <c r="C12" s="312" t="s">
        <v>1042</v>
      </c>
      <c r="D12" s="312" t="s">
        <v>1045</v>
      </c>
      <c r="E12" s="245" t="s">
        <v>1042</v>
      </c>
      <c r="F12" s="245" t="s">
        <v>1045</v>
      </c>
      <c r="I12" s="604">
        <f>SUM(J12:U12)</f>
        <v>347493061.1197173</v>
      </c>
      <c r="J12" s="603">
        <v>32009905.288348194</v>
      </c>
      <c r="K12" s="603">
        <v>31535505.591008633</v>
      </c>
      <c r="L12" s="603">
        <v>24695384.967900593</v>
      </c>
      <c r="M12" s="603">
        <v>23772439.84395526</v>
      </c>
      <c r="N12" s="603">
        <v>23811567.547735564</v>
      </c>
      <c r="O12" s="603">
        <v>23549382.222713735</v>
      </c>
      <c r="P12" s="603">
        <v>22295616.253755271</v>
      </c>
      <c r="Q12" s="603">
        <v>21040068.08982005</v>
      </c>
      <c r="R12" s="603">
        <v>23672174.704605799</v>
      </c>
      <c r="S12" s="603">
        <v>25390374.753528804</v>
      </c>
      <c r="T12" s="603">
        <v>29308007.925125919</v>
      </c>
      <c r="U12" s="603">
        <v>66412633.931219481</v>
      </c>
      <c r="V12" s="605">
        <f>SUM(L12:T12)</f>
        <v>217535016.30914101</v>
      </c>
      <c r="W12" s="605">
        <f>U12+J12+K12</f>
        <v>129958044.8105763</v>
      </c>
    </row>
    <row r="13" spans="1:28" x14ac:dyDescent="0.35">
      <c r="A13" s="247" t="s">
        <v>1483</v>
      </c>
      <c r="I13" s="601">
        <f>SUM(I14:I15)</f>
        <v>20001954.978270285</v>
      </c>
      <c r="J13" s="603"/>
      <c r="K13" s="603"/>
      <c r="L13" s="603"/>
      <c r="M13" s="638"/>
      <c r="N13" s="638"/>
      <c r="O13" s="638"/>
      <c r="P13" s="603"/>
      <c r="Q13" s="603"/>
      <c r="R13" s="603"/>
      <c r="S13" s="603"/>
      <c r="T13" s="603"/>
      <c r="U13" s="603"/>
      <c r="V13" s="603">
        <f>+V12+V11</f>
        <v>962631320.0081774</v>
      </c>
      <c r="W13" s="603">
        <f>+W12+W11</f>
        <v>452679586.19008589</v>
      </c>
    </row>
    <row r="14" spans="1:28" x14ac:dyDescent="0.35">
      <c r="A14" s="312" t="s">
        <v>305</v>
      </c>
      <c r="B14" s="312" t="s">
        <v>252</v>
      </c>
      <c r="C14" s="312" t="s">
        <v>1042</v>
      </c>
      <c r="D14" s="312" t="s">
        <v>1045</v>
      </c>
      <c r="I14" s="604">
        <f>SUM(J14:U14)</f>
        <v>4970604.9278248698</v>
      </c>
      <c r="J14" s="603">
        <v>537417.49779987498</v>
      </c>
      <c r="K14" s="603">
        <v>537417.49779987498</v>
      </c>
      <c r="L14" s="603">
        <v>397558.24902379152</v>
      </c>
      <c r="M14" s="603">
        <v>397558.24902379152</v>
      </c>
      <c r="N14" s="603">
        <v>397558.24902379152</v>
      </c>
      <c r="O14" s="603">
        <v>381859.57750417537</v>
      </c>
      <c r="P14" s="603">
        <v>381859.57750417537</v>
      </c>
      <c r="Q14" s="603">
        <v>377616.69330968452</v>
      </c>
      <c r="R14" s="603">
        <v>377616.69330968452</v>
      </c>
      <c r="S14" s="603">
        <v>377616.69330968452</v>
      </c>
      <c r="T14" s="603">
        <v>360645.15653172112</v>
      </c>
      <c r="U14" s="603">
        <v>445880.79368462047</v>
      </c>
      <c r="V14" s="605">
        <f>SUM(L14:T14)</f>
        <v>3449889.1385404998</v>
      </c>
      <c r="W14" s="605">
        <f>U14+J14+K14</f>
        <v>1520715.7892843704</v>
      </c>
    </row>
    <row r="15" spans="1:28" x14ac:dyDescent="0.35">
      <c r="A15" s="312" t="s">
        <v>305</v>
      </c>
      <c r="B15" s="312" t="s">
        <v>252</v>
      </c>
      <c r="C15" s="312" t="s">
        <v>1042</v>
      </c>
      <c r="D15" s="312" t="s">
        <v>1045</v>
      </c>
      <c r="I15" s="604">
        <f>SUM(J15:U15)</f>
        <v>15031350.050445413</v>
      </c>
      <c r="J15" s="603">
        <v>1695361.1722513249</v>
      </c>
      <c r="K15" s="603">
        <v>928349.96937674202</v>
      </c>
      <c r="L15" s="603">
        <v>1761230.1447293963</v>
      </c>
      <c r="M15" s="603">
        <v>1747250.4624190349</v>
      </c>
      <c r="N15" s="603">
        <v>1371805.5047611205</v>
      </c>
      <c r="O15" s="603">
        <v>1464559.2739282784</v>
      </c>
      <c r="P15" s="603">
        <v>1665810.36854122</v>
      </c>
      <c r="Q15" s="603">
        <v>720561.9983147023</v>
      </c>
      <c r="R15" s="603">
        <v>911318.41510712611</v>
      </c>
      <c r="S15" s="603">
        <v>897043.44751902902</v>
      </c>
      <c r="T15" s="603">
        <v>614597.29906252166</v>
      </c>
      <c r="U15" s="603">
        <v>1253461.9944349176</v>
      </c>
      <c r="V15" s="605">
        <f>SUM(L15:T15)</f>
        <v>11154176.914382428</v>
      </c>
      <c r="W15" s="605">
        <f>U15+J15+K15</f>
        <v>3877173.1360629844</v>
      </c>
    </row>
    <row r="16" spans="1:28" x14ac:dyDescent="0.35">
      <c r="A16" s="247" t="s">
        <v>537</v>
      </c>
      <c r="I16" s="601">
        <f>SUM(I17:I20)</f>
        <v>402506.30258106359</v>
      </c>
      <c r="J16" s="602"/>
      <c r="K16" s="602"/>
      <c r="L16" s="602"/>
      <c r="M16" s="602"/>
      <c r="N16" s="602"/>
      <c r="O16" s="602"/>
      <c r="P16" s="602"/>
      <c r="Q16" s="602"/>
      <c r="R16" s="602"/>
      <c r="S16" s="602"/>
      <c r="T16" s="602"/>
      <c r="U16" s="602"/>
      <c r="V16" s="603">
        <f>+V15+V14</f>
        <v>14604066.052922927</v>
      </c>
      <c r="W16" s="603">
        <f>+W15+W14</f>
        <v>5397888.9253473543</v>
      </c>
    </row>
    <row r="17" spans="1:26" x14ac:dyDescent="0.35">
      <c r="A17" s="311" t="s">
        <v>371</v>
      </c>
      <c r="B17" s="311" t="s">
        <v>371</v>
      </c>
      <c r="C17" s="311" t="s">
        <v>838</v>
      </c>
      <c r="D17" s="311" t="s">
        <v>838</v>
      </c>
      <c r="E17" s="245" t="s">
        <v>839</v>
      </c>
      <c r="F17" s="245" t="s">
        <v>839</v>
      </c>
      <c r="I17" s="604">
        <f>SUM(J17:U17)</f>
        <v>102539.61125749383</v>
      </c>
      <c r="J17" s="603">
        <v>8544.9676047911544</v>
      </c>
      <c r="K17" s="603">
        <v>8544.9676047911544</v>
      </c>
      <c r="L17" s="603">
        <v>8544.9676047911544</v>
      </c>
      <c r="M17" s="603">
        <v>8544.9676047911544</v>
      </c>
      <c r="N17" s="603">
        <v>8544.9676047911544</v>
      </c>
      <c r="O17" s="603">
        <v>8544.9676047911544</v>
      </c>
      <c r="P17" s="603">
        <v>8544.9676047911544</v>
      </c>
      <c r="Q17" s="603">
        <v>8544.9676047911544</v>
      </c>
      <c r="R17" s="603">
        <v>8544.9676047911544</v>
      </c>
      <c r="S17" s="603">
        <v>8544.9676047911544</v>
      </c>
      <c r="T17" s="603">
        <v>8544.9676047911544</v>
      </c>
      <c r="U17" s="603">
        <v>8544.9676047911544</v>
      </c>
      <c r="V17" s="605">
        <f>SUM(L17:T17)</f>
        <v>76904.708443120384</v>
      </c>
      <c r="W17" s="605">
        <f>U17+J17+K17</f>
        <v>25634.902814373461</v>
      </c>
      <c r="X17" s="245">
        <f>+V21+W21</f>
        <v>402506.30258106359</v>
      </c>
    </row>
    <row r="18" spans="1:26" x14ac:dyDescent="0.35">
      <c r="A18" s="311" t="s">
        <v>381</v>
      </c>
      <c r="B18" s="311" t="s">
        <v>375</v>
      </c>
      <c r="C18" s="311" t="s">
        <v>834</v>
      </c>
      <c r="D18" s="311" t="s">
        <v>836</v>
      </c>
      <c r="E18" s="245" t="s">
        <v>827</v>
      </c>
      <c r="F18" s="245" t="s">
        <v>830</v>
      </c>
      <c r="I18" s="604">
        <f>SUM(J18:U18)</f>
        <v>77089.553676456329</v>
      </c>
      <c r="J18" s="603">
        <v>8563.4240999048852</v>
      </c>
      <c r="K18" s="603">
        <v>4206.708480203004</v>
      </c>
      <c r="L18" s="603">
        <v>1864.7980344171249</v>
      </c>
      <c r="M18" s="603">
        <v>1641.9647674885805</v>
      </c>
      <c r="N18" s="603">
        <v>1804.8821408925312</v>
      </c>
      <c r="O18" s="603">
        <v>1313.9420807486006</v>
      </c>
      <c r="P18" s="603">
        <v>1454.6434486883768</v>
      </c>
      <c r="Q18" s="603">
        <v>5542.781161263897</v>
      </c>
      <c r="R18" s="603">
        <v>6186.0355012947857</v>
      </c>
      <c r="S18" s="603">
        <v>6213.749407101106</v>
      </c>
      <c r="T18" s="603">
        <v>7201.2396297789101</v>
      </c>
      <c r="U18" s="603">
        <v>31095.384924674527</v>
      </c>
      <c r="V18" s="605">
        <f>SUM(L18:T18)</f>
        <v>33224.036171673913</v>
      </c>
      <c r="W18" s="605">
        <f>U18+J18+K18</f>
        <v>43865.517504782416</v>
      </c>
    </row>
    <row r="19" spans="1:26" x14ac:dyDescent="0.35">
      <c r="A19" s="311" t="s">
        <v>383</v>
      </c>
      <c r="B19" s="311" t="s">
        <v>377</v>
      </c>
      <c r="C19" s="311" t="s">
        <v>832</v>
      </c>
      <c r="D19" s="311" t="s">
        <v>835</v>
      </c>
      <c r="E19" s="245" t="s">
        <v>826</v>
      </c>
      <c r="F19" s="245" t="s">
        <v>829</v>
      </c>
      <c r="I19" s="604">
        <f>SUM(J19:U19)</f>
        <v>100640.86309341945</v>
      </c>
      <c r="J19" s="603">
        <v>7982.9337143168077</v>
      </c>
      <c r="K19" s="603">
        <v>4072.2195691944735</v>
      </c>
      <c r="L19" s="603">
        <v>2896.9949441694935</v>
      </c>
      <c r="M19" s="603">
        <v>2739.2065485175603</v>
      </c>
      <c r="N19" s="603">
        <v>2903.6851721451353</v>
      </c>
      <c r="O19" s="603">
        <v>2044.6851462160109</v>
      </c>
      <c r="P19" s="603">
        <v>2198.0554667896899</v>
      </c>
      <c r="Q19" s="603">
        <v>10119.495774477315</v>
      </c>
      <c r="R19" s="603">
        <v>10830.595477548695</v>
      </c>
      <c r="S19" s="603">
        <v>10197.716741815168</v>
      </c>
      <c r="T19" s="603">
        <v>13358.828421853243</v>
      </c>
      <c r="U19" s="603">
        <v>31296.446116375871</v>
      </c>
      <c r="V19" s="605">
        <f>SUM(L19:T19)</f>
        <v>57289.26369353231</v>
      </c>
      <c r="W19" s="605">
        <f>U19+J19+K19</f>
        <v>43351.599399887149</v>
      </c>
    </row>
    <row r="20" spans="1:26" x14ac:dyDescent="0.35">
      <c r="A20" s="311" t="s">
        <v>379</v>
      </c>
      <c r="B20" s="311" t="s">
        <v>373</v>
      </c>
      <c r="C20" s="311" t="s">
        <v>833</v>
      </c>
      <c r="D20" s="311" t="s">
        <v>837</v>
      </c>
      <c r="E20" s="245" t="s">
        <v>828</v>
      </c>
      <c r="F20" s="245" t="s">
        <v>831</v>
      </c>
      <c r="I20" s="604">
        <f>SUM(J20:U20)</f>
        <v>122236.27455369393</v>
      </c>
      <c r="J20" s="603">
        <v>11101.133546441521</v>
      </c>
      <c r="K20" s="603">
        <v>6907.4413137419997</v>
      </c>
      <c r="L20" s="603">
        <v>3307.7225029559427</v>
      </c>
      <c r="M20" s="603">
        <v>3257.2261756539001</v>
      </c>
      <c r="N20" s="603">
        <v>3352.0399547653296</v>
      </c>
      <c r="O20" s="603">
        <v>3094.8708954675863</v>
      </c>
      <c r="P20" s="603">
        <v>3011.6691409889045</v>
      </c>
      <c r="Q20" s="603">
        <v>12538.145741072545</v>
      </c>
      <c r="R20" s="603">
        <v>12972.087456706129</v>
      </c>
      <c r="S20" s="603">
        <v>12493.36664914014</v>
      </c>
      <c r="T20" s="603">
        <v>14353.314704765373</v>
      </c>
      <c r="U20" s="603">
        <v>35847.256471994566</v>
      </c>
      <c r="V20" s="605">
        <f>SUM(L20:T20)</f>
        <v>68380.443221515845</v>
      </c>
      <c r="W20" s="605">
        <f>U20+J20+K20</f>
        <v>53855.831332178081</v>
      </c>
    </row>
    <row r="21" spans="1:26" x14ac:dyDescent="0.35">
      <c r="A21" s="247" t="s">
        <v>536</v>
      </c>
      <c r="B21" s="247"/>
      <c r="C21" s="247"/>
      <c r="D21" s="247"/>
      <c r="E21" s="247"/>
      <c r="F21" s="247"/>
      <c r="G21" s="247"/>
      <c r="H21" s="247"/>
      <c r="I21" s="601">
        <f>SUM(I22:I25)</f>
        <v>33489543.227640923</v>
      </c>
      <c r="J21" s="607"/>
      <c r="K21" s="607"/>
      <c r="L21" s="607"/>
      <c r="M21" s="607"/>
      <c r="N21" s="607"/>
      <c r="O21" s="607"/>
      <c r="P21" s="607"/>
      <c r="Q21" s="607"/>
      <c r="R21" s="607"/>
      <c r="S21" s="607"/>
      <c r="T21" s="607"/>
      <c r="U21" s="607"/>
      <c r="V21" s="603">
        <f>+V20+V19+V18+V17</f>
        <v>235798.45152984245</v>
      </c>
      <c r="W21" s="603">
        <f>+W20+W19+W18+W17</f>
        <v>166707.85105122111</v>
      </c>
    </row>
    <row r="22" spans="1:26" x14ac:dyDescent="0.35">
      <c r="A22" s="312" t="s">
        <v>368</v>
      </c>
      <c r="B22" s="312" t="s">
        <v>368</v>
      </c>
      <c r="C22" s="312" t="s">
        <v>839</v>
      </c>
      <c r="D22" s="312" t="s">
        <v>839</v>
      </c>
      <c r="F22" s="245" t="s">
        <v>838</v>
      </c>
      <c r="I22" s="604">
        <f>SUM(J22:U22)</f>
        <v>1551653.7757195185</v>
      </c>
      <c r="J22" s="603">
        <v>129304.48130995984</v>
      </c>
      <c r="K22" s="603">
        <v>129304.48130995984</v>
      </c>
      <c r="L22" s="603">
        <v>129304.48130995984</v>
      </c>
      <c r="M22" s="603">
        <v>129304.48130995984</v>
      </c>
      <c r="N22" s="603">
        <v>129304.48130995984</v>
      </c>
      <c r="O22" s="603">
        <v>129304.48130995984</v>
      </c>
      <c r="P22" s="603">
        <v>129304.48130995984</v>
      </c>
      <c r="Q22" s="603">
        <v>129304.48130995984</v>
      </c>
      <c r="R22" s="603">
        <v>129304.48130995984</v>
      </c>
      <c r="S22" s="603">
        <v>129304.48130995984</v>
      </c>
      <c r="T22" s="603">
        <v>129304.48130995984</v>
      </c>
      <c r="U22" s="603">
        <v>129304.48130995984</v>
      </c>
      <c r="V22" s="605">
        <f>SUM(L22:T22)</f>
        <v>1163740.3317896388</v>
      </c>
      <c r="W22" s="605">
        <f>U22+J22+K22</f>
        <v>387913.44392987952</v>
      </c>
    </row>
    <row r="23" spans="1:26" x14ac:dyDescent="0.35">
      <c r="A23" s="312" t="s">
        <v>364</v>
      </c>
      <c r="B23" s="312" t="s">
        <v>358</v>
      </c>
      <c r="C23" s="312" t="s">
        <v>827</v>
      </c>
      <c r="D23" s="312" t="s">
        <v>830</v>
      </c>
      <c r="F23" s="245" t="s">
        <v>836</v>
      </c>
      <c r="I23" s="604">
        <f>SUM(J23:U23)</f>
        <v>8711465.7918892875</v>
      </c>
      <c r="J23" s="603">
        <v>1405742.0087445925</v>
      </c>
      <c r="K23" s="603">
        <v>1386435.3047297508</v>
      </c>
      <c r="L23" s="603">
        <v>641580.958690017</v>
      </c>
      <c r="M23" s="603">
        <v>544298.92209618271</v>
      </c>
      <c r="N23" s="603">
        <v>516772.56201275904</v>
      </c>
      <c r="O23" s="603">
        <v>401119.23532462551</v>
      </c>
      <c r="P23" s="603">
        <v>426137.09422540996</v>
      </c>
      <c r="Q23" s="603">
        <v>453133.07522888837</v>
      </c>
      <c r="R23" s="603">
        <v>476387.45454441814</v>
      </c>
      <c r="S23" s="603">
        <v>488350.99789097207</v>
      </c>
      <c r="T23" s="603">
        <v>607543.2613182175</v>
      </c>
      <c r="U23" s="603">
        <v>1363964.9170834532</v>
      </c>
      <c r="V23" s="605">
        <f>SUM(L23:T23)</f>
        <v>4555323.5613314901</v>
      </c>
      <c r="W23" s="605">
        <f>U23+J23+K23</f>
        <v>4156142.2305577965</v>
      </c>
    </row>
    <row r="24" spans="1:26" x14ac:dyDescent="0.35">
      <c r="A24" s="312" t="s">
        <v>366</v>
      </c>
      <c r="B24" s="312" t="s">
        <v>360</v>
      </c>
      <c r="C24" s="312" t="s">
        <v>826</v>
      </c>
      <c r="D24" s="312" t="s">
        <v>829</v>
      </c>
      <c r="F24" s="245" t="s">
        <v>835</v>
      </c>
      <c r="I24" s="604">
        <f>SUM(J24:U24)</f>
        <v>12102344.35980414</v>
      </c>
      <c r="J24" s="603">
        <v>1632733.0935102385</v>
      </c>
      <c r="K24" s="603">
        <v>1580259.1918742794</v>
      </c>
      <c r="L24" s="603">
        <v>1000507.9621868604</v>
      </c>
      <c r="M24" s="603">
        <v>892435.7446214658</v>
      </c>
      <c r="N24" s="603">
        <v>855399.42097106355</v>
      </c>
      <c r="O24" s="603">
        <v>683789.8768980169</v>
      </c>
      <c r="P24" s="603">
        <v>734037.17072432011</v>
      </c>
      <c r="Q24" s="603">
        <v>701564.55032213265</v>
      </c>
      <c r="R24" s="603">
        <v>742050.29660910799</v>
      </c>
      <c r="S24" s="603">
        <v>745135.71193613869</v>
      </c>
      <c r="T24" s="603">
        <v>881919.65297413059</v>
      </c>
      <c r="U24" s="603">
        <v>1652511.6871763864</v>
      </c>
      <c r="V24" s="605">
        <f>SUM(L24:T24)</f>
        <v>7236840.3872432364</v>
      </c>
      <c r="W24" s="605">
        <f>U24+J24+K24</f>
        <v>4865503.972560904</v>
      </c>
      <c r="Z24" s="245">
        <f>3578510707.1-'MSCOA - Tariff Structure'!Q6</f>
        <v>272273904.16000032</v>
      </c>
    </row>
    <row r="25" spans="1:26" x14ac:dyDescent="0.35">
      <c r="A25" s="312" t="s">
        <v>362</v>
      </c>
      <c r="B25" s="312" t="s">
        <v>356</v>
      </c>
      <c r="C25" s="312" t="s">
        <v>828</v>
      </c>
      <c r="D25" s="312" t="s">
        <v>831</v>
      </c>
      <c r="F25" s="245" t="s">
        <v>837</v>
      </c>
      <c r="I25" s="604">
        <f>SUM(J25:U25)</f>
        <v>11124079.300227977</v>
      </c>
      <c r="J25" s="603">
        <v>1454433.8500882247</v>
      </c>
      <c r="K25" s="603">
        <v>1531056.8545108542</v>
      </c>
      <c r="L25" s="603">
        <v>799322.18491593818</v>
      </c>
      <c r="M25" s="603">
        <v>807363.84932651394</v>
      </c>
      <c r="N25" s="603">
        <v>717273.80277382943</v>
      </c>
      <c r="O25" s="603">
        <v>698602.16431527212</v>
      </c>
      <c r="P25" s="603">
        <v>724216.90573474555</v>
      </c>
      <c r="Q25" s="603">
        <v>747702.13677753182</v>
      </c>
      <c r="R25" s="603">
        <v>723638.64821450191</v>
      </c>
      <c r="S25" s="603">
        <v>740487.21656110696</v>
      </c>
      <c r="T25" s="603">
        <v>789424.49639078311</v>
      </c>
      <c r="U25" s="603">
        <v>1390557.190618675</v>
      </c>
      <c r="V25" s="605">
        <f>SUM(L25:T25)</f>
        <v>6748031.4050102243</v>
      </c>
      <c r="W25" s="605">
        <f>U25+J25+K25</f>
        <v>4376047.8952177539</v>
      </c>
      <c r="Z25" s="245">
        <f>Z24/2</f>
        <v>136136952.08000016</v>
      </c>
    </row>
    <row r="26" spans="1:26" x14ac:dyDescent="0.35">
      <c r="A26" s="247" t="s">
        <v>545</v>
      </c>
      <c r="I26" s="601">
        <f>+I27</f>
        <v>146841897.31048647</v>
      </c>
      <c r="J26" s="602"/>
      <c r="K26" s="602"/>
      <c r="L26" s="602"/>
      <c r="M26" s="602"/>
      <c r="N26" s="602"/>
      <c r="O26" s="602"/>
      <c r="P26" s="602"/>
      <c r="Q26" s="602"/>
      <c r="R26" s="602"/>
      <c r="S26" s="602"/>
      <c r="T26" s="602"/>
      <c r="U26" s="602"/>
      <c r="V26" s="603">
        <f>+V25+V24+V23+V22</f>
        <v>19703935.685374591</v>
      </c>
      <c r="W26" s="603">
        <f>+W25+W24+W23+W22</f>
        <v>13785607.542266333</v>
      </c>
      <c r="X26" s="245">
        <f>+V26+W26</f>
        <v>33489543.227640927</v>
      </c>
    </row>
    <row r="27" spans="1:26" x14ac:dyDescent="0.35">
      <c r="A27" s="309" t="s">
        <v>313</v>
      </c>
      <c r="B27" s="309" t="s">
        <v>311</v>
      </c>
      <c r="C27" s="309" t="s">
        <v>510</v>
      </c>
      <c r="D27" s="309" t="s">
        <v>514</v>
      </c>
      <c r="E27" s="245" t="s">
        <v>510</v>
      </c>
      <c r="F27" s="245" t="s">
        <v>514</v>
      </c>
      <c r="I27" s="604">
        <f>SUM(J27:U27)</f>
        <v>146841897.31048647</v>
      </c>
      <c r="J27" s="603">
        <v>12552399.190017285</v>
      </c>
      <c r="K27" s="603">
        <v>12282020.478637775</v>
      </c>
      <c r="L27" s="603">
        <v>11348557.789491126</v>
      </c>
      <c r="M27" s="603">
        <v>12079624.850313945</v>
      </c>
      <c r="N27" s="603">
        <v>11799075.840653934</v>
      </c>
      <c r="O27" s="603">
        <v>12787489.959208658</v>
      </c>
      <c r="P27" s="603">
        <v>10991799.839073272</v>
      </c>
      <c r="Q27" s="603">
        <v>11735450.104284195</v>
      </c>
      <c r="R27" s="603">
        <v>11713575.046103088</v>
      </c>
      <c r="S27" s="603">
        <v>12166727.94934649</v>
      </c>
      <c r="T27" s="603">
        <v>13213002.357497036</v>
      </c>
      <c r="U27" s="603">
        <v>14172173.905859653</v>
      </c>
      <c r="V27" s="609">
        <f>SUM(L27:T27)</f>
        <v>107835303.73597175</v>
      </c>
      <c r="W27" s="609">
        <f>U27+J27+K27</f>
        <v>39006593.574514717</v>
      </c>
    </row>
    <row r="28" spans="1:26" x14ac:dyDescent="0.35">
      <c r="A28" s="247" t="s">
        <v>546</v>
      </c>
      <c r="I28" s="601">
        <f>+I29</f>
        <v>45649989.463651046</v>
      </c>
      <c r="J28" s="602"/>
      <c r="K28" s="602"/>
      <c r="L28" s="602"/>
      <c r="M28" s="602"/>
      <c r="N28" s="602"/>
      <c r="O28" s="602"/>
      <c r="P28" s="602"/>
      <c r="Q28" s="602"/>
      <c r="R28" s="602"/>
      <c r="S28" s="602"/>
      <c r="T28" s="602"/>
      <c r="U28" s="602"/>
      <c r="V28" s="603">
        <f>+V27</f>
        <v>107835303.73597175</v>
      </c>
      <c r="W28" s="603">
        <f>+W27</f>
        <v>39006593.574514717</v>
      </c>
      <c r="X28" s="245">
        <f>+W28+V28</f>
        <v>146841897.31048647</v>
      </c>
    </row>
    <row r="29" spans="1:26" x14ac:dyDescent="0.35">
      <c r="A29" s="309" t="s">
        <v>313</v>
      </c>
      <c r="B29" s="309" t="s">
        <v>311</v>
      </c>
      <c r="C29" s="309" t="s">
        <v>510</v>
      </c>
      <c r="D29" s="309" t="s">
        <v>514</v>
      </c>
      <c r="E29" s="245" t="s">
        <v>510</v>
      </c>
      <c r="F29" s="245" t="s">
        <v>514</v>
      </c>
      <c r="I29" s="604">
        <f>SUM(J29:U29)</f>
        <v>45649989.463651046</v>
      </c>
      <c r="J29" s="603">
        <v>5732451.0533950003</v>
      </c>
      <c r="K29" s="603">
        <v>7732304.9947403744</v>
      </c>
      <c r="L29" s="603">
        <v>4958720.2873512693</v>
      </c>
      <c r="M29" s="603">
        <v>3703069.8697158489</v>
      </c>
      <c r="N29" s="603">
        <v>3946004.9392910236</v>
      </c>
      <c r="O29" s="603">
        <v>3038708.9765587584</v>
      </c>
      <c r="P29" s="603">
        <v>2961230.2592618326</v>
      </c>
      <c r="Q29" s="603">
        <v>2222365.494707929</v>
      </c>
      <c r="R29" s="603">
        <v>1706097.0071444316</v>
      </c>
      <c r="S29" s="603">
        <v>1074642.4863285846</v>
      </c>
      <c r="T29" s="603">
        <v>703846.25162358116</v>
      </c>
      <c r="U29" s="603">
        <v>7870547.8435324226</v>
      </c>
      <c r="V29" s="609">
        <f>SUM(L29:T29)</f>
        <v>24314685.571983259</v>
      </c>
      <c r="W29" s="609">
        <f>U29+J29+K29</f>
        <v>21335303.891667798</v>
      </c>
    </row>
    <row r="30" spans="1:26" x14ac:dyDescent="0.35">
      <c r="A30" s="247" t="s">
        <v>539</v>
      </c>
      <c r="I30" s="601">
        <f>SUM(I31:I34)</f>
        <v>450253.83688775956</v>
      </c>
      <c r="J30" s="602"/>
      <c r="K30" s="602"/>
      <c r="L30" s="602"/>
      <c r="M30" s="602"/>
      <c r="N30" s="602"/>
      <c r="O30" s="602"/>
      <c r="P30" s="602"/>
      <c r="Q30" s="602"/>
      <c r="R30" s="602"/>
      <c r="S30" s="602"/>
      <c r="T30" s="602"/>
      <c r="U30" s="602"/>
      <c r="V30" s="603">
        <f>+V29</f>
        <v>24314685.571983259</v>
      </c>
      <c r="W30" s="603">
        <f>+W29</f>
        <v>21335303.891667798</v>
      </c>
      <c r="X30" s="245">
        <f>+W30+V30</f>
        <v>45649989.463651061</v>
      </c>
    </row>
    <row r="31" spans="1:26" x14ac:dyDescent="0.35">
      <c r="A31" s="311" t="s">
        <v>401</v>
      </c>
      <c r="B31" s="311" t="s">
        <v>401</v>
      </c>
      <c r="C31" s="311" t="s">
        <v>875</v>
      </c>
      <c r="D31" s="311" t="s">
        <v>875</v>
      </c>
      <c r="E31" s="245" t="s">
        <v>876</v>
      </c>
      <c r="F31" s="245" t="s">
        <v>876</v>
      </c>
      <c r="I31" s="604">
        <f>SUM(J31:U31)</f>
        <v>171334.92072862189</v>
      </c>
      <c r="J31" s="603">
        <v>14277.91006071849</v>
      </c>
      <c r="K31" s="603">
        <v>14277.91006071849</v>
      </c>
      <c r="L31" s="603">
        <v>14277.91006071849</v>
      </c>
      <c r="M31" s="603">
        <v>14277.91006071849</v>
      </c>
      <c r="N31" s="603">
        <v>14277.91006071849</v>
      </c>
      <c r="O31" s="603">
        <v>14277.91006071849</v>
      </c>
      <c r="P31" s="603">
        <v>14277.91006071849</v>
      </c>
      <c r="Q31" s="603">
        <v>14277.91006071849</v>
      </c>
      <c r="R31" s="603">
        <v>14277.91006071849</v>
      </c>
      <c r="S31" s="603">
        <v>14277.91006071849</v>
      </c>
      <c r="T31" s="603">
        <v>14277.91006071849</v>
      </c>
      <c r="U31" s="603">
        <v>14277.91006071849</v>
      </c>
      <c r="V31" s="605">
        <f>SUM(L31:T31)</f>
        <v>128501.19054646643</v>
      </c>
      <c r="W31" s="605">
        <f>U31+J31+K31</f>
        <v>42833.730182155472</v>
      </c>
    </row>
    <row r="32" spans="1:26" x14ac:dyDescent="0.35">
      <c r="A32" s="311" t="s">
        <v>403</v>
      </c>
      <c r="B32" s="311" t="s">
        <v>411</v>
      </c>
      <c r="C32" s="311" t="s">
        <v>871</v>
      </c>
      <c r="D32" s="311" t="s">
        <v>874</v>
      </c>
      <c r="E32" s="245" t="s">
        <v>864</v>
      </c>
      <c r="F32" s="245" t="s">
        <v>867</v>
      </c>
      <c r="I32" s="604">
        <f>SUM(J32:U32)</f>
        <v>73759.546996157995</v>
      </c>
      <c r="J32" s="603">
        <v>7247.7100303998386</v>
      </c>
      <c r="K32" s="603">
        <v>7244.8948390887481</v>
      </c>
      <c r="L32" s="603">
        <v>10046.009118997979</v>
      </c>
      <c r="M32" s="603">
        <v>6053.9123774865393</v>
      </c>
      <c r="N32" s="603">
        <v>5603.7508798116442</v>
      </c>
      <c r="O32" s="603">
        <v>5153.1145282362468</v>
      </c>
      <c r="P32" s="603">
        <v>4829.2641680946035</v>
      </c>
      <c r="Q32" s="603">
        <v>4594.2114873466371</v>
      </c>
      <c r="R32" s="603">
        <v>4557.1728831075634</v>
      </c>
      <c r="S32" s="603">
        <v>4766.1085993279785</v>
      </c>
      <c r="T32" s="603">
        <v>5681.6269194938004</v>
      </c>
      <c r="U32" s="603">
        <v>7981.7711647664182</v>
      </c>
      <c r="V32" s="605">
        <f>SUM(L32:T32)</f>
        <v>51285.170961902986</v>
      </c>
      <c r="W32" s="605">
        <f>U32+J32+K32</f>
        <v>22474.376034255005</v>
      </c>
    </row>
    <row r="33" spans="1:24" x14ac:dyDescent="0.35">
      <c r="A33" s="311" t="s">
        <v>405</v>
      </c>
      <c r="B33" s="311" t="s">
        <v>413</v>
      </c>
      <c r="C33" s="311" t="s">
        <v>870</v>
      </c>
      <c r="D33" s="311" t="s">
        <v>873</v>
      </c>
      <c r="E33" s="245" t="s">
        <v>863</v>
      </c>
      <c r="F33" s="245" t="s">
        <v>866</v>
      </c>
      <c r="I33" s="604">
        <f>SUM(J33:U33)</f>
        <v>105240.99480010661</v>
      </c>
      <c r="J33" s="603">
        <v>10784.710206418995</v>
      </c>
      <c r="K33" s="603">
        <v>11426.775073262981</v>
      </c>
      <c r="L33" s="603">
        <v>13139.133261468289</v>
      </c>
      <c r="M33" s="603">
        <v>8694.9406162454379</v>
      </c>
      <c r="N33" s="603">
        <v>8087.0473523887085</v>
      </c>
      <c r="O33" s="603">
        <v>7387.9965982239064</v>
      </c>
      <c r="P33" s="603">
        <v>7210.4514862866754</v>
      </c>
      <c r="Q33" s="603">
        <v>6902.7949564969349</v>
      </c>
      <c r="R33" s="603">
        <v>6719.9499904720233</v>
      </c>
      <c r="S33" s="603">
        <v>6437.7327603031408</v>
      </c>
      <c r="T33" s="603">
        <v>6892.7252337303453</v>
      </c>
      <c r="U33" s="603">
        <v>11556.737264809151</v>
      </c>
      <c r="V33" s="605">
        <f>SUM(L33:T33)</f>
        <v>71472.772255615462</v>
      </c>
      <c r="W33" s="605">
        <f>U33+J33+K33</f>
        <v>33768.222544491124</v>
      </c>
    </row>
    <row r="34" spans="1:24" x14ac:dyDescent="0.35">
      <c r="A34" s="311" t="s">
        <v>407</v>
      </c>
      <c r="B34" s="311" t="s">
        <v>409</v>
      </c>
      <c r="C34" s="311" t="s">
        <v>872</v>
      </c>
      <c r="D34" s="311" t="s">
        <v>869</v>
      </c>
      <c r="E34" s="245" t="s">
        <v>865</v>
      </c>
      <c r="F34" s="245" t="s">
        <v>868</v>
      </c>
      <c r="I34" s="604">
        <f>SUM(J34:U34)</f>
        <v>99918.374362873074</v>
      </c>
      <c r="J34" s="603">
        <v>9701.5870047951012</v>
      </c>
      <c r="K34" s="603">
        <v>11526.300276053487</v>
      </c>
      <c r="L34" s="603">
        <v>9813.0374817240536</v>
      </c>
      <c r="M34" s="603">
        <v>8353.3158806336141</v>
      </c>
      <c r="N34" s="603">
        <v>8255.6896212614938</v>
      </c>
      <c r="O34" s="603">
        <v>8797.9211122325869</v>
      </c>
      <c r="P34" s="603">
        <v>8100.0286082072062</v>
      </c>
      <c r="Q34" s="603">
        <v>6056.0249107234231</v>
      </c>
      <c r="R34" s="603">
        <v>6147.7493307380355</v>
      </c>
      <c r="S34" s="603">
        <v>6418.250301290509</v>
      </c>
      <c r="T34" s="603">
        <v>6885.4792504265997</v>
      </c>
      <c r="U34" s="603">
        <v>9862.9905847869704</v>
      </c>
      <c r="V34" s="605">
        <f>SUM(L34:T34)</f>
        <v>68827.496497237516</v>
      </c>
      <c r="W34" s="605">
        <f>U34+J34+K34</f>
        <v>31090.877865635557</v>
      </c>
    </row>
    <row r="35" spans="1:24" x14ac:dyDescent="0.35">
      <c r="A35" s="247" t="s">
        <v>538</v>
      </c>
      <c r="B35" s="248"/>
      <c r="C35" s="248"/>
      <c r="D35" s="248"/>
      <c r="E35" s="248"/>
      <c r="F35" s="248"/>
      <c r="G35" s="248"/>
      <c r="H35" s="248"/>
      <c r="I35" s="601">
        <f>SUM(I36:I39)</f>
        <v>71137456.33391203</v>
      </c>
      <c r="J35" s="607"/>
      <c r="K35" s="607"/>
      <c r="L35" s="607"/>
      <c r="M35" s="607"/>
      <c r="N35" s="607"/>
      <c r="O35" s="607"/>
      <c r="P35" s="607"/>
      <c r="Q35" s="607"/>
      <c r="R35" s="607"/>
      <c r="S35" s="607"/>
      <c r="T35" s="607"/>
      <c r="U35" s="607"/>
      <c r="V35" s="603">
        <f>+V34+V33+V32+V31</f>
        <v>320086.63026122242</v>
      </c>
      <c r="W35" s="603">
        <f>+W34+W33+W32+W31</f>
        <v>130167.20662653715</v>
      </c>
      <c r="X35" s="245">
        <f>+W35+V35</f>
        <v>450253.83688775956</v>
      </c>
    </row>
    <row r="36" spans="1:24" x14ac:dyDescent="0.35">
      <c r="A36" s="311" t="s">
        <v>392</v>
      </c>
      <c r="B36" s="311" t="s">
        <v>392</v>
      </c>
      <c r="C36" s="311" t="s">
        <v>876</v>
      </c>
      <c r="D36" s="311" t="s">
        <v>876</v>
      </c>
      <c r="E36" s="245" t="s">
        <v>875</v>
      </c>
      <c r="F36" s="245" t="s">
        <v>875</v>
      </c>
      <c r="I36" s="604">
        <f>SUM(J36:U36)</f>
        <v>6003017.5213681953</v>
      </c>
      <c r="J36" s="603">
        <v>500251.46011401637</v>
      </c>
      <c r="K36" s="603">
        <v>500251.46011401637</v>
      </c>
      <c r="L36" s="603">
        <v>500251.46011401637</v>
      </c>
      <c r="M36" s="603">
        <v>500251.46011401637</v>
      </c>
      <c r="N36" s="603">
        <v>500251.46011401637</v>
      </c>
      <c r="O36" s="603">
        <v>500251.46011401637</v>
      </c>
      <c r="P36" s="603">
        <v>500251.46011401637</v>
      </c>
      <c r="Q36" s="603">
        <v>500251.46011401637</v>
      </c>
      <c r="R36" s="603">
        <v>500251.46011401637</v>
      </c>
      <c r="S36" s="603">
        <v>500251.46011401637</v>
      </c>
      <c r="T36" s="603">
        <v>500251.46011401637</v>
      </c>
      <c r="U36" s="603">
        <v>500251.46011401637</v>
      </c>
      <c r="V36" s="605">
        <f>SUM(L36:T36)</f>
        <v>4502263.1410261467</v>
      </c>
      <c r="W36" s="605">
        <f>U36+J36+K36</f>
        <v>1500754.3803420491</v>
      </c>
    </row>
    <row r="37" spans="1:24" x14ac:dyDescent="0.35">
      <c r="A37" s="311" t="s">
        <v>396</v>
      </c>
      <c r="B37" s="311" t="s">
        <v>388</v>
      </c>
      <c r="C37" s="311" t="s">
        <v>864</v>
      </c>
      <c r="D37" s="311" t="s">
        <v>867</v>
      </c>
      <c r="E37" s="245" t="s">
        <v>871</v>
      </c>
      <c r="F37" s="245" t="s">
        <v>874</v>
      </c>
      <c r="I37" s="604">
        <f>SUM(J37:U37)</f>
        <v>18118223.70292069</v>
      </c>
      <c r="J37" s="603">
        <v>2238624.3655070034</v>
      </c>
      <c r="K37" s="603">
        <v>1952695.5187283664</v>
      </c>
      <c r="L37" s="603">
        <v>1295831.215003456</v>
      </c>
      <c r="M37" s="603">
        <v>1369750.8353004907</v>
      </c>
      <c r="N37" s="603">
        <v>1335952.1275676084</v>
      </c>
      <c r="O37" s="603">
        <v>1268708.3832869364</v>
      </c>
      <c r="P37" s="603">
        <v>1127755.7905271994</v>
      </c>
      <c r="Q37" s="603">
        <v>1350742.8135465584</v>
      </c>
      <c r="R37" s="603">
        <v>1364674.3305348684</v>
      </c>
      <c r="S37" s="603">
        <v>1328943.8538208951</v>
      </c>
      <c r="T37" s="603">
        <v>1387483.9693023581</v>
      </c>
      <c r="U37" s="603">
        <v>2097060.4997949521</v>
      </c>
      <c r="V37" s="605">
        <f>SUM(L37:T37)</f>
        <v>11829843.31889037</v>
      </c>
      <c r="W37" s="605">
        <f>U37+J37+K37</f>
        <v>6288380.3840303216</v>
      </c>
    </row>
    <row r="38" spans="1:24" x14ac:dyDescent="0.35">
      <c r="A38" s="311" t="s">
        <v>398</v>
      </c>
      <c r="B38" s="311" t="s">
        <v>390</v>
      </c>
      <c r="C38" s="311" t="s">
        <v>863</v>
      </c>
      <c r="D38" s="311" t="s">
        <v>866</v>
      </c>
      <c r="E38" s="245" t="s">
        <v>870</v>
      </c>
      <c r="F38" s="245" t="s">
        <v>873</v>
      </c>
      <c r="I38" s="604">
        <f>SUM(J38:U38)</f>
        <v>26701219.471026167</v>
      </c>
      <c r="J38" s="603">
        <v>3339883.0404985719</v>
      </c>
      <c r="K38" s="603">
        <v>2995966.2447018581</v>
      </c>
      <c r="L38" s="603">
        <v>1848551.9361389452</v>
      </c>
      <c r="M38" s="603">
        <v>2019715.8117604482</v>
      </c>
      <c r="N38" s="603">
        <v>1948862.3451211583</v>
      </c>
      <c r="O38" s="603">
        <v>1855171.8955489632</v>
      </c>
      <c r="P38" s="603">
        <v>1689411.6981567161</v>
      </c>
      <c r="Q38" s="603">
        <v>1978239.0830055545</v>
      </c>
      <c r="R38" s="603">
        <v>1796395.4714119704</v>
      </c>
      <c r="S38" s="603">
        <v>1845265.3199573727</v>
      </c>
      <c r="T38" s="603">
        <v>2036796.6408349061</v>
      </c>
      <c r="U38" s="603">
        <v>3346959.9838897064</v>
      </c>
      <c r="V38" s="605">
        <f>SUM(L38:T38)</f>
        <v>17018410.201936033</v>
      </c>
      <c r="W38" s="605">
        <f>U38+J38+K38</f>
        <v>9682809.2690901365</v>
      </c>
    </row>
    <row r="39" spans="1:24" x14ac:dyDescent="0.35">
      <c r="A39" s="311" t="s">
        <v>394</v>
      </c>
      <c r="B39" s="311" t="s">
        <v>386</v>
      </c>
      <c r="C39" s="311" t="s">
        <v>865</v>
      </c>
      <c r="D39" s="311" t="s">
        <v>868</v>
      </c>
      <c r="E39" s="245" t="s">
        <v>872</v>
      </c>
      <c r="F39" s="245" t="s">
        <v>869</v>
      </c>
      <c r="I39" s="604">
        <f>SUM(J39:U39)</f>
        <v>20314995.638596978</v>
      </c>
      <c r="J39" s="603">
        <v>1912457.6901043451</v>
      </c>
      <c r="K39" s="603">
        <v>2186867.2759463983</v>
      </c>
      <c r="L39" s="603">
        <v>1519978.1677747334</v>
      </c>
      <c r="M39" s="603">
        <v>1532086.9387965368</v>
      </c>
      <c r="N39" s="603">
        <v>1578235.3880126819</v>
      </c>
      <c r="O39" s="603">
        <v>1702521.3049785534</v>
      </c>
      <c r="P39" s="603">
        <v>1557638.1325949591</v>
      </c>
      <c r="Q39" s="603">
        <v>1500470.2279624243</v>
      </c>
      <c r="R39" s="603">
        <v>1464253.3612290984</v>
      </c>
      <c r="S39" s="603">
        <v>1607458.2800153922</v>
      </c>
      <c r="T39" s="603">
        <v>1572914.224071959</v>
      </c>
      <c r="U39" s="603">
        <v>2180114.6471098955</v>
      </c>
      <c r="V39" s="605">
        <f>SUM(L39:T39)</f>
        <v>14035556.025436338</v>
      </c>
      <c r="W39" s="605">
        <f>U39+J39+K39</f>
        <v>6279439.6131606391</v>
      </c>
    </row>
    <row r="40" spans="1:24" s="330" customFormat="1" x14ac:dyDescent="0.35">
      <c r="A40" s="329" t="s">
        <v>254</v>
      </c>
      <c r="I40" s="601">
        <f>SUM(I41:I46)</f>
        <v>133858755.22919631</v>
      </c>
      <c r="J40" s="610"/>
      <c r="K40" s="610"/>
      <c r="L40" s="610"/>
      <c r="M40" s="610"/>
      <c r="N40" s="610"/>
      <c r="O40" s="610"/>
      <c r="P40" s="610"/>
      <c r="Q40" s="610"/>
      <c r="R40" s="610"/>
      <c r="S40" s="610"/>
      <c r="T40" s="610"/>
      <c r="U40" s="610"/>
      <c r="V40" s="603">
        <f>+V39+V38+V37+V36</f>
        <v>47386072.687288888</v>
      </c>
      <c r="W40" s="603">
        <f>+W39+W38+W37+W36</f>
        <v>23751383.646623146</v>
      </c>
      <c r="X40" s="330">
        <f>+W40+V40</f>
        <v>71137456.33391203</v>
      </c>
    </row>
    <row r="41" spans="1:24" x14ac:dyDescent="0.35">
      <c r="A41" s="311" t="s">
        <v>256</v>
      </c>
      <c r="B41" s="311" t="s">
        <v>256</v>
      </c>
      <c r="C41" s="311" t="s">
        <v>862</v>
      </c>
      <c r="D41" s="328" t="s">
        <v>1382</v>
      </c>
      <c r="E41" s="245" t="s">
        <v>862</v>
      </c>
      <c r="F41" s="245" t="s">
        <v>862</v>
      </c>
      <c r="I41" s="604">
        <f t="shared" ref="I41:I46" si="0">SUM(J41:U41)</f>
        <v>195556.50195397457</v>
      </c>
      <c r="J41" s="603">
        <v>16296.375162831213</v>
      </c>
      <c r="K41" s="603">
        <v>16296.375162831213</v>
      </c>
      <c r="L41" s="603">
        <v>16296.375162831213</v>
      </c>
      <c r="M41" s="603">
        <v>16296.375162831213</v>
      </c>
      <c r="N41" s="603">
        <v>16296.375162831213</v>
      </c>
      <c r="O41" s="603">
        <v>16296.375162831213</v>
      </c>
      <c r="P41" s="603">
        <v>16296.375162831213</v>
      </c>
      <c r="Q41" s="603">
        <v>16296.375162831213</v>
      </c>
      <c r="R41" s="603">
        <v>16296.375162831213</v>
      </c>
      <c r="S41" s="603">
        <v>16296.375162831213</v>
      </c>
      <c r="T41" s="603">
        <v>16296.375162831213</v>
      </c>
      <c r="U41" s="603">
        <v>16296.375162831213</v>
      </c>
      <c r="V41" s="605">
        <f t="shared" ref="V41:V46" si="1">SUM(L41:T41)</f>
        <v>146667.37646548092</v>
      </c>
      <c r="W41" s="605">
        <f t="shared" ref="W41:W46" si="2">U41+J41+K41</f>
        <v>48889.125488493635</v>
      </c>
    </row>
    <row r="42" spans="1:24" x14ac:dyDescent="0.35">
      <c r="A42" s="311" t="s">
        <v>256</v>
      </c>
      <c r="B42" s="311" t="s">
        <v>256</v>
      </c>
      <c r="C42" s="311" t="s">
        <v>862</v>
      </c>
      <c r="D42" s="311" t="s">
        <v>862</v>
      </c>
      <c r="E42" s="245" t="s">
        <v>862</v>
      </c>
      <c r="F42" s="245" t="s">
        <v>862</v>
      </c>
      <c r="I42" s="604">
        <f t="shared" si="0"/>
        <v>13401403.199453687</v>
      </c>
      <c r="J42" s="603">
        <v>974456.7142914813</v>
      </c>
      <c r="K42" s="603">
        <v>974456.7142914813</v>
      </c>
      <c r="L42" s="603">
        <v>1299273.744209537</v>
      </c>
      <c r="M42" s="603">
        <v>1299273.744209537</v>
      </c>
      <c r="N42" s="603">
        <v>1299273.744209537</v>
      </c>
      <c r="O42" s="603">
        <v>1299273.744209537</v>
      </c>
      <c r="P42" s="603">
        <v>1299273.744209537</v>
      </c>
      <c r="Q42" s="603">
        <v>985850.15204508626</v>
      </c>
      <c r="R42" s="603">
        <v>950496.18533129233</v>
      </c>
      <c r="S42" s="603">
        <v>953786.53966033214</v>
      </c>
      <c r="T42" s="603">
        <v>991508.43658357207</v>
      </c>
      <c r="U42" s="603">
        <v>1074479.7362027557</v>
      </c>
      <c r="V42" s="605">
        <f t="shared" si="1"/>
        <v>10378010.034667969</v>
      </c>
      <c r="W42" s="605">
        <f t="shared" si="2"/>
        <v>3023393.1647857185</v>
      </c>
    </row>
    <row r="43" spans="1:24" x14ac:dyDescent="0.35">
      <c r="A43" s="311" t="s">
        <v>257</v>
      </c>
      <c r="B43" s="311" t="s">
        <v>257</v>
      </c>
      <c r="C43" s="311" t="s">
        <v>861</v>
      </c>
      <c r="D43" s="328" t="s">
        <v>1385</v>
      </c>
      <c r="E43" s="245" t="s">
        <v>861</v>
      </c>
      <c r="F43" s="245" t="s">
        <v>861</v>
      </c>
      <c r="I43" s="604">
        <f t="shared" si="0"/>
        <v>26883758.000129253</v>
      </c>
      <c r="J43" s="603">
        <v>2632984.0457987124</v>
      </c>
      <c r="K43" s="603">
        <v>2448013.95801087</v>
      </c>
      <c r="L43" s="603">
        <v>2560646.0178504977</v>
      </c>
      <c r="M43" s="603">
        <v>2166676.7638686146</v>
      </c>
      <c r="N43" s="603">
        <v>2146681.2685303837</v>
      </c>
      <c r="O43" s="603">
        <v>2020276.5079560867</v>
      </c>
      <c r="P43" s="603">
        <v>1948309.4442537609</v>
      </c>
      <c r="Q43" s="603">
        <v>1912858.8469530293</v>
      </c>
      <c r="R43" s="603">
        <v>1893553.031621238</v>
      </c>
      <c r="S43" s="603">
        <v>1895392.1783050783</v>
      </c>
      <c r="T43" s="603">
        <v>2436869.3560886211</v>
      </c>
      <c r="U43" s="603">
        <v>2821496.5808923598</v>
      </c>
      <c r="V43" s="605">
        <f t="shared" si="1"/>
        <v>18981263.415427309</v>
      </c>
      <c r="W43" s="605">
        <f t="shared" si="2"/>
        <v>7902494.5847019423</v>
      </c>
    </row>
    <row r="44" spans="1:24" x14ac:dyDescent="0.35">
      <c r="A44" s="311" t="s">
        <v>435</v>
      </c>
      <c r="B44" s="311" t="s">
        <v>258</v>
      </c>
      <c r="C44" s="311" t="s">
        <v>857</v>
      </c>
      <c r="D44" s="311" t="s">
        <v>859</v>
      </c>
      <c r="E44" s="245" t="s">
        <v>857</v>
      </c>
      <c r="F44" s="245" t="s">
        <v>859</v>
      </c>
      <c r="I44" s="604">
        <f t="shared" si="0"/>
        <v>24672460.189231396</v>
      </c>
      <c r="J44" s="603">
        <v>3935244.7053450868</v>
      </c>
      <c r="K44" s="603">
        <v>3609960.823335784</v>
      </c>
      <c r="L44" s="603">
        <v>1900125.6348697213</v>
      </c>
      <c r="M44" s="603">
        <v>1702085.2853282159</v>
      </c>
      <c r="N44" s="603">
        <v>1646796.7082083621</v>
      </c>
      <c r="O44" s="603">
        <v>1185955.8037547804</v>
      </c>
      <c r="P44" s="603">
        <v>1292032.3433305987</v>
      </c>
      <c r="Q44" s="603">
        <v>1243734.2247625282</v>
      </c>
      <c r="R44" s="603">
        <v>1215706.3377786507</v>
      </c>
      <c r="S44" s="603">
        <v>1343685.2044790366</v>
      </c>
      <c r="T44" s="603">
        <v>1780138.9197178707</v>
      </c>
      <c r="U44" s="603">
        <v>3816994.1983207637</v>
      </c>
      <c r="V44" s="605">
        <f t="shared" si="1"/>
        <v>13310260.462229764</v>
      </c>
      <c r="W44" s="605">
        <f t="shared" si="2"/>
        <v>11362199.727001633</v>
      </c>
    </row>
    <row r="45" spans="1:24" x14ac:dyDescent="0.35">
      <c r="A45" s="311" t="s">
        <v>438</v>
      </c>
      <c r="B45" s="311" t="s">
        <v>259</v>
      </c>
      <c r="C45" s="311" t="s">
        <v>856</v>
      </c>
      <c r="D45" s="311" t="s">
        <v>858</v>
      </c>
      <c r="E45" s="245" t="s">
        <v>856</v>
      </c>
      <c r="F45" s="245" t="s">
        <v>858</v>
      </c>
      <c r="I45" s="604">
        <f t="shared" si="0"/>
        <v>34582715.538359061</v>
      </c>
      <c r="J45" s="603">
        <v>4774351.1651753793</v>
      </c>
      <c r="K45" s="603">
        <v>4412743.0376755083</v>
      </c>
      <c r="L45" s="603">
        <v>2758124.1107467306</v>
      </c>
      <c r="M45" s="603">
        <v>2532675.9139040997</v>
      </c>
      <c r="N45" s="603">
        <v>2482438.5045176204</v>
      </c>
      <c r="O45" s="603">
        <v>1815971.1437437797</v>
      </c>
      <c r="P45" s="603">
        <v>1998031.2690015121</v>
      </c>
      <c r="Q45" s="603">
        <v>1940838.258407112</v>
      </c>
      <c r="R45" s="603">
        <v>2266793.7604837567</v>
      </c>
      <c r="S45" s="603">
        <v>2109786.3097454612</v>
      </c>
      <c r="T45" s="603">
        <v>2746470.083023258</v>
      </c>
      <c r="U45" s="603">
        <v>4744491.9819348464</v>
      </c>
      <c r="V45" s="605">
        <f t="shared" si="1"/>
        <v>20651129.35357333</v>
      </c>
      <c r="W45" s="605">
        <f t="shared" si="2"/>
        <v>13931586.184785735</v>
      </c>
    </row>
    <row r="46" spans="1:24" x14ac:dyDescent="0.35">
      <c r="A46" s="311" t="s">
        <v>491</v>
      </c>
      <c r="B46" s="311" t="s">
        <v>260</v>
      </c>
      <c r="C46" s="311" t="s">
        <v>490</v>
      </c>
      <c r="D46" s="311" t="s">
        <v>860</v>
      </c>
      <c r="E46" s="245" t="s">
        <v>490</v>
      </c>
      <c r="F46" s="245" t="s">
        <v>860</v>
      </c>
      <c r="I46" s="604">
        <f t="shared" si="0"/>
        <v>34122861.800068937</v>
      </c>
      <c r="J46" s="603">
        <v>4487212.9839814082</v>
      </c>
      <c r="K46" s="603">
        <v>4670294.1043403009</v>
      </c>
      <c r="L46" s="603">
        <v>2642250.3918490889</v>
      </c>
      <c r="M46" s="603">
        <v>2583001.8673096746</v>
      </c>
      <c r="N46" s="603">
        <v>2276520.0729930783</v>
      </c>
      <c r="O46" s="603">
        <v>2166145.0008383114</v>
      </c>
      <c r="P46" s="603">
        <v>2132755.2728980402</v>
      </c>
      <c r="Q46" s="603">
        <v>1686221.8673047954</v>
      </c>
      <c r="R46" s="603">
        <v>2135557.5188588048</v>
      </c>
      <c r="S46" s="603">
        <v>2191551.7648063488</v>
      </c>
      <c r="T46" s="603">
        <v>2545835.1278909966</v>
      </c>
      <c r="U46" s="603">
        <v>4605515.8269980894</v>
      </c>
      <c r="V46" s="605">
        <f t="shared" si="1"/>
        <v>20359838.884749141</v>
      </c>
      <c r="W46" s="605">
        <f t="shared" si="2"/>
        <v>13763022.915319797</v>
      </c>
    </row>
    <row r="47" spans="1:24" x14ac:dyDescent="0.35">
      <c r="A47" s="247" t="s">
        <v>261</v>
      </c>
      <c r="I47" s="601">
        <f>SUM(I48:I53)</f>
        <v>889352394.93153906</v>
      </c>
      <c r="J47" s="602"/>
      <c r="K47" s="602"/>
      <c r="L47" s="602"/>
      <c r="M47" s="602"/>
      <c r="N47" s="602"/>
      <c r="O47" s="602"/>
      <c r="P47" s="602"/>
      <c r="Q47" s="602"/>
      <c r="R47" s="602"/>
      <c r="S47" s="602"/>
      <c r="T47" s="602"/>
      <c r="U47" s="602"/>
      <c r="V47" s="603">
        <f>+V46+V45+V44+V43+V42+V41</f>
        <v>83827169.527112991</v>
      </c>
      <c r="W47" s="603">
        <f>+W46+W45+W44+W43+W42+W41</f>
        <v>50031585.702083319</v>
      </c>
      <c r="X47" s="245">
        <f>+W47+V47</f>
        <v>133858755.22919631</v>
      </c>
    </row>
    <row r="48" spans="1:24" x14ac:dyDescent="0.35">
      <c r="A48" s="311" t="s">
        <v>262</v>
      </c>
      <c r="B48" s="311" t="s">
        <v>262</v>
      </c>
      <c r="C48" s="311" t="s">
        <v>854</v>
      </c>
      <c r="D48" s="328" t="s">
        <v>1383</v>
      </c>
      <c r="E48" s="245" t="s">
        <v>854</v>
      </c>
      <c r="F48" s="245" t="s">
        <v>854</v>
      </c>
      <c r="I48" s="604">
        <f t="shared" ref="I48:I53" si="3">SUM(J48:U48)</f>
        <v>7429153.0102468403</v>
      </c>
      <c r="J48" s="603">
        <v>619096.08418723673</v>
      </c>
      <c r="K48" s="603">
        <v>619096.08418723673</v>
      </c>
      <c r="L48" s="603">
        <v>619096.08418723673</v>
      </c>
      <c r="M48" s="603">
        <v>619096.08418723673</v>
      </c>
      <c r="N48" s="603">
        <v>619096.08418723673</v>
      </c>
      <c r="O48" s="603">
        <v>619096.08418723673</v>
      </c>
      <c r="P48" s="603">
        <v>619096.08418723673</v>
      </c>
      <c r="Q48" s="603">
        <v>619096.08418723673</v>
      </c>
      <c r="R48" s="603">
        <v>619096.08418723673</v>
      </c>
      <c r="S48" s="603">
        <v>619096.08418723673</v>
      </c>
      <c r="T48" s="603">
        <v>619096.08418723673</v>
      </c>
      <c r="U48" s="603">
        <v>619096.08418723673</v>
      </c>
      <c r="V48" s="605">
        <f t="shared" ref="V48:V53" si="4">SUM(L48:T48)</f>
        <v>5571864.7576851305</v>
      </c>
      <c r="W48" s="605">
        <f t="shared" ref="W48:W53" si="5">U48+J48+K48</f>
        <v>1857288.2525617103</v>
      </c>
    </row>
    <row r="49" spans="1:24" x14ac:dyDescent="0.35">
      <c r="A49" s="311" t="s">
        <v>262</v>
      </c>
      <c r="B49" s="311" t="s">
        <v>262</v>
      </c>
      <c r="C49" s="311" t="s">
        <v>854</v>
      </c>
      <c r="D49" s="311" t="s">
        <v>854</v>
      </c>
      <c r="E49" s="245" t="s">
        <v>854</v>
      </c>
      <c r="F49" s="245" t="s">
        <v>854</v>
      </c>
      <c r="I49" s="604">
        <f t="shared" si="3"/>
        <v>84609900.56582433</v>
      </c>
      <c r="J49" s="603">
        <v>7100355.7867259169</v>
      </c>
      <c r="K49" s="603">
        <v>7073526.2028290806</v>
      </c>
      <c r="L49" s="603">
        <v>7026730.4169625053</v>
      </c>
      <c r="M49" s="603">
        <v>7039583.6594805252</v>
      </c>
      <c r="N49" s="603">
        <v>7073401.4140667701</v>
      </c>
      <c r="O49" s="603">
        <v>6993411.8174255053</v>
      </c>
      <c r="P49" s="603">
        <v>6971074.6289718589</v>
      </c>
      <c r="Q49" s="603">
        <v>7102601.9844475109</v>
      </c>
      <c r="R49" s="603">
        <v>6971448.9952587914</v>
      </c>
      <c r="S49" s="603">
        <v>7017995.2036007456</v>
      </c>
      <c r="T49" s="603">
        <v>7092244.5171757098</v>
      </c>
      <c r="U49" s="603">
        <v>7147525.9388794228</v>
      </c>
      <c r="V49" s="605">
        <f t="shared" si="4"/>
        <v>63288492.637389921</v>
      </c>
      <c r="W49" s="605">
        <f t="shared" si="5"/>
        <v>21321407.92843442</v>
      </c>
    </row>
    <row r="50" spans="1:24" x14ac:dyDescent="0.35">
      <c r="A50" s="311" t="s">
        <v>263</v>
      </c>
      <c r="B50" s="311" t="s">
        <v>263</v>
      </c>
      <c r="C50" s="311" t="s">
        <v>853</v>
      </c>
      <c r="D50" s="328" t="s">
        <v>1384</v>
      </c>
      <c r="E50" s="245" t="s">
        <v>853</v>
      </c>
      <c r="F50" s="245" t="s">
        <v>853</v>
      </c>
      <c r="I50" s="604">
        <f t="shared" si="3"/>
        <v>193385166.97593707</v>
      </c>
      <c r="J50" s="603">
        <v>16524571.420142097</v>
      </c>
      <c r="K50" s="603">
        <v>16093136.384703515</v>
      </c>
      <c r="L50" s="603">
        <v>15838474.574146362</v>
      </c>
      <c r="M50" s="603">
        <v>15837119.990047652</v>
      </c>
      <c r="N50" s="603">
        <v>16413834.170072695</v>
      </c>
      <c r="O50" s="603">
        <v>16021004.781447299</v>
      </c>
      <c r="P50" s="603">
        <v>16237060.94519127</v>
      </c>
      <c r="Q50" s="603">
        <v>16195068.838131312</v>
      </c>
      <c r="R50" s="603">
        <v>16096522.844950285</v>
      </c>
      <c r="S50" s="603">
        <v>15879450.743132286</v>
      </c>
      <c r="T50" s="603">
        <v>15813076.122295581</v>
      </c>
      <c r="U50" s="603">
        <v>16435846.161676703</v>
      </c>
      <c r="V50" s="628">
        <f t="shared" si="4"/>
        <v>144331613.00941476</v>
      </c>
      <c r="W50" s="605">
        <f t="shared" si="5"/>
        <v>49053553.966522314</v>
      </c>
    </row>
    <row r="51" spans="1:24" x14ac:dyDescent="0.35">
      <c r="A51" s="311" t="s">
        <v>423</v>
      </c>
      <c r="B51" s="311" t="s">
        <v>264</v>
      </c>
      <c r="C51" s="311" t="s">
        <v>849</v>
      </c>
      <c r="D51" s="311" t="s">
        <v>852</v>
      </c>
      <c r="E51" s="245" t="s">
        <v>849</v>
      </c>
      <c r="F51" s="245" t="s">
        <v>852</v>
      </c>
      <c r="I51" s="604">
        <f t="shared" si="3"/>
        <v>156123479.66577959</v>
      </c>
      <c r="J51" s="603">
        <v>22538008.89409297</v>
      </c>
      <c r="K51" s="603">
        <v>21555851.90854498</v>
      </c>
      <c r="L51" s="603">
        <v>10098325.45838978</v>
      </c>
      <c r="M51" s="603">
        <v>9925219.4374575447</v>
      </c>
      <c r="N51" s="603">
        <v>10436881.619191783</v>
      </c>
      <c r="O51" s="603">
        <v>9575587.9565352742</v>
      </c>
      <c r="P51" s="603">
        <v>10016103.972167837</v>
      </c>
      <c r="Q51" s="603">
        <v>10067367.385519421</v>
      </c>
      <c r="R51" s="603">
        <v>10622263.813713605</v>
      </c>
      <c r="S51" s="603">
        <v>9315478.1648903713</v>
      </c>
      <c r="T51" s="603">
        <v>10212748.129724512</v>
      </c>
      <c r="U51" s="603">
        <v>21759642.9255515</v>
      </c>
      <c r="V51" s="605">
        <f t="shared" si="4"/>
        <v>90269975.937590137</v>
      </c>
      <c r="W51" s="605">
        <f t="shared" si="5"/>
        <v>65853503.728189446</v>
      </c>
    </row>
    <row r="52" spans="1:24" x14ac:dyDescent="0.35">
      <c r="A52" s="311" t="s">
        <v>425</v>
      </c>
      <c r="B52" s="311" t="s">
        <v>265</v>
      </c>
      <c r="C52" s="311" t="s">
        <v>848</v>
      </c>
      <c r="D52" s="311" t="s">
        <v>851</v>
      </c>
      <c r="E52" s="245" t="s">
        <v>848</v>
      </c>
      <c r="F52" s="245" t="s">
        <v>851</v>
      </c>
      <c r="I52" s="604">
        <f t="shared" si="3"/>
        <v>234855021.39660019</v>
      </c>
      <c r="J52" s="603">
        <v>28423810.515008915</v>
      </c>
      <c r="K52" s="603">
        <v>27004823.745534845</v>
      </c>
      <c r="L52" s="603">
        <v>16728069.459345888</v>
      </c>
      <c r="M52" s="603">
        <v>16685077.832591308</v>
      </c>
      <c r="N52" s="603">
        <v>17358011.945381075</v>
      </c>
      <c r="O52" s="603">
        <v>16199822.926039927</v>
      </c>
      <c r="P52" s="603">
        <v>17056412.204779733</v>
      </c>
      <c r="Q52" s="603">
        <v>16954409.020501509</v>
      </c>
      <c r="R52" s="603">
        <v>18132732.10135429</v>
      </c>
      <c r="S52" s="603">
        <v>15943238.382395577</v>
      </c>
      <c r="T52" s="603">
        <v>16859400.551489145</v>
      </c>
      <c r="U52" s="603">
        <v>27509212.712177947</v>
      </c>
      <c r="V52" s="628">
        <f t="shared" si="4"/>
        <v>151917174.42387843</v>
      </c>
      <c r="W52" s="605">
        <f t="shared" si="5"/>
        <v>82937846.972721696</v>
      </c>
    </row>
    <row r="53" spans="1:24" x14ac:dyDescent="0.35">
      <c r="A53" s="311" t="s">
        <v>421</v>
      </c>
      <c r="B53" s="311" t="s">
        <v>266</v>
      </c>
      <c r="C53" s="311" t="s">
        <v>850</v>
      </c>
      <c r="D53" s="311" t="s">
        <v>855</v>
      </c>
      <c r="E53" s="245" t="s">
        <v>850</v>
      </c>
      <c r="F53" s="245" t="s">
        <v>855</v>
      </c>
      <c r="I53" s="604">
        <f t="shared" si="3"/>
        <v>212949673.31715107</v>
      </c>
      <c r="J53" s="603">
        <v>24910600.541227829</v>
      </c>
      <c r="K53" s="603">
        <v>26110946.350366727</v>
      </c>
      <c r="L53" s="603">
        <v>14599267.666047452</v>
      </c>
      <c r="M53" s="603">
        <v>15391508.673367381</v>
      </c>
      <c r="N53" s="603">
        <v>14850580.904383857</v>
      </c>
      <c r="O53" s="603">
        <v>15659617.719542373</v>
      </c>
      <c r="P53" s="603">
        <v>15739486.495491477</v>
      </c>
      <c r="Q53" s="603">
        <v>13983596.717243278</v>
      </c>
      <c r="R53" s="603">
        <v>15005396.74225896</v>
      </c>
      <c r="S53" s="603">
        <v>15954480.175581153</v>
      </c>
      <c r="T53" s="603">
        <v>15855505.607539868</v>
      </c>
      <c r="U53" s="603">
        <v>24888685.724100702</v>
      </c>
      <c r="V53" s="605">
        <f t="shared" si="4"/>
        <v>137039440.7014558</v>
      </c>
      <c r="W53" s="605">
        <f t="shared" si="5"/>
        <v>75910232.615695253</v>
      </c>
    </row>
    <row r="54" spans="1:24" x14ac:dyDescent="0.35">
      <c r="A54" s="247" t="s">
        <v>267</v>
      </c>
      <c r="I54" s="601">
        <f>SUM(I55:I60)</f>
        <v>437546925.13747472</v>
      </c>
      <c r="J54" s="602"/>
      <c r="K54" s="602"/>
      <c r="L54" s="602"/>
      <c r="M54" s="602"/>
      <c r="N54" s="602"/>
      <c r="O54" s="602"/>
      <c r="P54" s="602"/>
      <c r="Q54" s="602"/>
      <c r="R54" s="602"/>
      <c r="S54" s="602"/>
      <c r="T54" s="602"/>
      <c r="U54" s="602"/>
      <c r="V54" s="603">
        <f>+V53+V52+V51+V50+V49+V48</f>
        <v>592418561.46741426</v>
      </c>
      <c r="W54" s="603">
        <f>+W53+W52+W51+W50+W49+W48</f>
        <v>296933833.4641248</v>
      </c>
      <c r="X54" s="245">
        <f>+W54+V54</f>
        <v>889352394.93153906</v>
      </c>
    </row>
    <row r="55" spans="1:24" x14ac:dyDescent="0.35">
      <c r="A55" s="311" t="s">
        <v>268</v>
      </c>
      <c r="B55" s="311" t="s">
        <v>268</v>
      </c>
      <c r="C55" s="311" t="s">
        <v>847</v>
      </c>
      <c r="D55" s="328" t="s">
        <v>1386</v>
      </c>
      <c r="E55" s="245" t="s">
        <v>847</v>
      </c>
      <c r="F55" s="245" t="s">
        <v>847</v>
      </c>
      <c r="I55" s="604">
        <f t="shared" ref="I55:I60" si="6">SUM(J55:U55)</f>
        <v>19224668.839552384</v>
      </c>
      <c r="J55" s="603">
        <v>1602055.7366293655</v>
      </c>
      <c r="K55" s="603">
        <v>1602055.7366293655</v>
      </c>
      <c r="L55" s="603">
        <v>1602055.7366293655</v>
      </c>
      <c r="M55" s="603">
        <v>1602055.7366293655</v>
      </c>
      <c r="N55" s="603">
        <v>1602055.7366293655</v>
      </c>
      <c r="O55" s="603">
        <v>1602055.7366293655</v>
      </c>
      <c r="P55" s="603">
        <v>1602055.7366293655</v>
      </c>
      <c r="Q55" s="603">
        <v>1602055.7366293655</v>
      </c>
      <c r="R55" s="603">
        <v>1602055.7366293655</v>
      </c>
      <c r="S55" s="603">
        <v>1602055.7366293655</v>
      </c>
      <c r="T55" s="603">
        <v>1602055.7366293655</v>
      </c>
      <c r="U55" s="603">
        <v>1602055.7366293655</v>
      </c>
      <c r="V55" s="605">
        <f t="shared" ref="V55:V60" si="7">SUM(L55:T55)</f>
        <v>14418501.629664287</v>
      </c>
      <c r="W55" s="605">
        <f t="shared" ref="W55:W60" si="8">U55+J55+K55</f>
        <v>4806167.2098880969</v>
      </c>
    </row>
    <row r="56" spans="1:24" x14ac:dyDescent="0.35">
      <c r="A56" s="311" t="s">
        <v>268</v>
      </c>
      <c r="B56" s="311" t="s">
        <v>268</v>
      </c>
      <c r="C56" s="311" t="s">
        <v>847</v>
      </c>
      <c r="D56" s="311" t="s">
        <v>847</v>
      </c>
      <c r="E56" s="245" t="s">
        <v>847</v>
      </c>
      <c r="F56" s="245" t="s">
        <v>847</v>
      </c>
      <c r="I56" s="604">
        <f t="shared" si="6"/>
        <v>48749486.121388063</v>
      </c>
      <c r="J56" s="603">
        <v>4734134.0331119411</v>
      </c>
      <c r="K56" s="603">
        <v>4570336.2733702008</v>
      </c>
      <c r="L56" s="603">
        <v>5062520.8461207515</v>
      </c>
      <c r="M56" s="603">
        <v>3770118.0013987464</v>
      </c>
      <c r="N56" s="603">
        <v>3914133.42300743</v>
      </c>
      <c r="O56" s="603">
        <v>3760226.8323322167</v>
      </c>
      <c r="P56" s="603">
        <v>3788713.3992438246</v>
      </c>
      <c r="Q56" s="603">
        <v>3874568.7467413088</v>
      </c>
      <c r="R56" s="603">
        <v>3771304.9416867299</v>
      </c>
      <c r="S56" s="603">
        <v>3812847.8517661584</v>
      </c>
      <c r="T56" s="603">
        <v>3844499.5927790552</v>
      </c>
      <c r="U56" s="603">
        <v>3846082.1798297004</v>
      </c>
      <c r="V56" s="605">
        <f t="shared" si="7"/>
        <v>35598933.635076225</v>
      </c>
      <c r="W56" s="605">
        <f t="shared" si="8"/>
        <v>13150552.486311842</v>
      </c>
      <c r="X56" s="245" t="e">
        <f>+#REF!+#REF!</f>
        <v>#REF!</v>
      </c>
    </row>
    <row r="57" spans="1:24" x14ac:dyDescent="0.35">
      <c r="A57" s="311" t="s">
        <v>269</v>
      </c>
      <c r="B57" s="311" t="s">
        <v>269</v>
      </c>
      <c r="C57" s="311" t="s">
        <v>846</v>
      </c>
      <c r="D57" s="311" t="s">
        <v>846</v>
      </c>
      <c r="E57" s="245" t="s">
        <v>846</v>
      </c>
      <c r="F57" s="245" t="s">
        <v>846</v>
      </c>
      <c r="I57" s="604">
        <f t="shared" si="6"/>
        <v>97391582.119807497</v>
      </c>
      <c r="J57" s="603">
        <v>8873371.9797031265</v>
      </c>
      <c r="K57" s="603">
        <v>9632506.0197761208</v>
      </c>
      <c r="L57" s="603">
        <v>9304072.4911475331</v>
      </c>
      <c r="M57" s="603">
        <v>7622511.8134714747</v>
      </c>
      <c r="N57" s="603">
        <v>8294074.3075955808</v>
      </c>
      <c r="O57" s="603">
        <v>7491529.3766009863</v>
      </c>
      <c r="P57" s="603">
        <v>7796785.0557483081</v>
      </c>
      <c r="Q57" s="603">
        <v>8059859.9501407277</v>
      </c>
      <c r="R57" s="603">
        <v>7475989.0874807602</v>
      </c>
      <c r="S57" s="603">
        <v>7211804.1724368958</v>
      </c>
      <c r="T57" s="603">
        <v>7586991.1526252404</v>
      </c>
      <c r="U57" s="603">
        <v>8042086.7130807433</v>
      </c>
      <c r="V57" s="605">
        <f t="shared" si="7"/>
        <v>70843617.407247514</v>
      </c>
      <c r="W57" s="605">
        <f t="shared" si="8"/>
        <v>26547964.712559991</v>
      </c>
    </row>
    <row r="58" spans="1:24" x14ac:dyDescent="0.35">
      <c r="A58" s="311" t="s">
        <v>337</v>
      </c>
      <c r="B58" s="311" t="s">
        <v>330</v>
      </c>
      <c r="C58" s="311" t="s">
        <v>841</v>
      </c>
      <c r="D58" s="311" t="s">
        <v>844</v>
      </c>
      <c r="E58" s="245" t="s">
        <v>841</v>
      </c>
      <c r="F58" s="245" t="s">
        <v>844</v>
      </c>
      <c r="I58" s="604">
        <f t="shared" si="6"/>
        <v>80526963.462049782</v>
      </c>
      <c r="J58" s="603">
        <v>10552402.486248922</v>
      </c>
      <c r="K58" s="603">
        <v>9803859.2231980003</v>
      </c>
      <c r="L58" s="603">
        <v>9478084.2210004535</v>
      </c>
      <c r="M58" s="603">
        <v>9429507.9498182628</v>
      </c>
      <c r="N58" s="603">
        <v>10796788.936039884</v>
      </c>
      <c r="O58" s="603">
        <v>3536787.8242812199</v>
      </c>
      <c r="P58" s="603">
        <v>3873042.2968805884</v>
      </c>
      <c r="Q58" s="603">
        <v>3732001.1968227918</v>
      </c>
      <c r="R58" s="603">
        <v>3949105.8733392498</v>
      </c>
      <c r="S58" s="603">
        <v>3418491.6655005626</v>
      </c>
      <c r="T58" s="603">
        <v>3906356.6158079938</v>
      </c>
      <c r="U58" s="603">
        <v>8050535.1731118523</v>
      </c>
      <c r="V58" s="605">
        <f t="shared" si="7"/>
        <v>52120166.579491004</v>
      </c>
      <c r="W58" s="605">
        <f t="shared" si="8"/>
        <v>28406796.882558774</v>
      </c>
    </row>
    <row r="59" spans="1:24" x14ac:dyDescent="0.35">
      <c r="A59" s="311" t="s">
        <v>339</v>
      </c>
      <c r="B59" s="311" t="s">
        <v>332</v>
      </c>
      <c r="C59" s="311" t="s">
        <v>840</v>
      </c>
      <c r="D59" s="311" t="s">
        <v>843</v>
      </c>
      <c r="E59" s="245" t="s">
        <v>840</v>
      </c>
      <c r="F59" s="245" t="s">
        <v>843</v>
      </c>
      <c r="I59" s="604">
        <f t="shared" si="6"/>
        <v>104783766.84881774</v>
      </c>
      <c r="J59" s="603">
        <v>11344683.886262299</v>
      </c>
      <c r="K59" s="603">
        <v>11482069.288707804</v>
      </c>
      <c r="L59" s="603">
        <v>11282347.735582288</v>
      </c>
      <c r="M59" s="603">
        <v>9810860.6089848392</v>
      </c>
      <c r="N59" s="603">
        <v>12436529.069421766</v>
      </c>
      <c r="O59" s="603">
        <v>5883435.283629776</v>
      </c>
      <c r="P59" s="603">
        <v>6562577.1416155854</v>
      </c>
      <c r="Q59" s="603">
        <v>7378158.2823745934</v>
      </c>
      <c r="R59" s="603">
        <v>6698950.1810082495</v>
      </c>
      <c r="S59" s="603">
        <v>5761437.0578129897</v>
      </c>
      <c r="T59" s="603">
        <v>6263120.2597238244</v>
      </c>
      <c r="U59" s="603">
        <v>9879598.0536937136</v>
      </c>
      <c r="V59" s="605">
        <f t="shared" si="7"/>
        <v>72077415.620153904</v>
      </c>
      <c r="W59" s="605">
        <f t="shared" si="8"/>
        <v>32706351.228663817</v>
      </c>
    </row>
    <row r="60" spans="1:24" x14ac:dyDescent="0.35">
      <c r="A60" s="311" t="s">
        <v>335</v>
      </c>
      <c r="B60" s="311" t="s">
        <v>328</v>
      </c>
      <c r="C60" s="311" t="s">
        <v>842</v>
      </c>
      <c r="D60" s="311" t="s">
        <v>845</v>
      </c>
      <c r="E60" s="245" t="s">
        <v>842</v>
      </c>
      <c r="F60" s="245" t="s">
        <v>845</v>
      </c>
      <c r="I60" s="604">
        <f t="shared" si="6"/>
        <v>86870457.745859206</v>
      </c>
      <c r="J60" s="603">
        <v>9868178.6175793633</v>
      </c>
      <c r="K60" s="603">
        <v>9841034.9525347874</v>
      </c>
      <c r="L60" s="603">
        <v>9641709.2825115304</v>
      </c>
      <c r="M60" s="603">
        <v>9706534.1580367424</v>
      </c>
      <c r="N60" s="603">
        <v>10306656.651670391</v>
      </c>
      <c r="O60" s="603">
        <v>5198077.5988290077</v>
      </c>
      <c r="P60" s="603">
        <v>5378099.8550253762</v>
      </c>
      <c r="Q60" s="603">
        <v>4545981.9045151509</v>
      </c>
      <c r="R60" s="603">
        <v>4739494.7963253427</v>
      </c>
      <c r="S60" s="603">
        <v>4994795.8532027518</v>
      </c>
      <c r="T60" s="603">
        <v>5036552.2688062778</v>
      </c>
      <c r="U60" s="603">
        <v>7613341.8068224918</v>
      </c>
      <c r="V60" s="605">
        <f t="shared" si="7"/>
        <v>59547902.368922569</v>
      </c>
      <c r="W60" s="605">
        <f t="shared" si="8"/>
        <v>27322555.376936644</v>
      </c>
    </row>
    <row r="61" spans="1:24" x14ac:dyDescent="0.35">
      <c r="A61" s="247" t="s">
        <v>270</v>
      </c>
      <c r="I61" s="601">
        <f>SUM(I62:I66)</f>
        <v>73284530.951420978</v>
      </c>
      <c r="J61" s="602"/>
      <c r="K61" s="602"/>
      <c r="L61" s="602"/>
      <c r="M61" s="602"/>
      <c r="N61" s="602"/>
      <c r="O61" s="602"/>
      <c r="P61" s="602"/>
      <c r="Q61" s="602"/>
      <c r="R61" s="602"/>
      <c r="S61" s="602"/>
      <c r="T61" s="602"/>
      <c r="U61" s="602"/>
      <c r="V61" s="603">
        <f>+V60+V59+V58+V57+V56+V55</f>
        <v>304606537.24055552</v>
      </c>
      <c r="W61" s="603">
        <f>+W60+W59+W58+W57+W56+W55</f>
        <v>132940387.89691918</v>
      </c>
      <c r="X61" s="245">
        <f>+V61+W61</f>
        <v>437546925.13747472</v>
      </c>
    </row>
    <row r="62" spans="1:24" x14ac:dyDescent="0.35">
      <c r="A62" s="311" t="s">
        <v>520</v>
      </c>
      <c r="B62" s="311" t="s">
        <v>520</v>
      </c>
      <c r="C62" s="311" t="s">
        <v>519</v>
      </c>
      <c r="D62" s="328" t="s">
        <v>519</v>
      </c>
      <c r="E62" s="245" t="s">
        <v>519</v>
      </c>
      <c r="F62" s="245" t="s">
        <v>519</v>
      </c>
      <c r="I62" s="604">
        <f>SUM(J62:U62)</f>
        <v>2031028.686854691</v>
      </c>
      <c r="J62" s="603">
        <v>169252.39057122424</v>
      </c>
      <c r="K62" s="603">
        <v>169252.39057122424</v>
      </c>
      <c r="L62" s="603">
        <v>169252.39057122424</v>
      </c>
      <c r="M62" s="603">
        <v>169252.39057122424</v>
      </c>
      <c r="N62" s="603">
        <v>169252.39057122424</v>
      </c>
      <c r="O62" s="603">
        <v>169252.39057122424</v>
      </c>
      <c r="P62" s="603">
        <v>169252.39057122424</v>
      </c>
      <c r="Q62" s="603">
        <v>169252.39057122424</v>
      </c>
      <c r="R62" s="603">
        <v>169252.39057122424</v>
      </c>
      <c r="S62" s="603">
        <v>169252.39057122424</v>
      </c>
      <c r="T62" s="603">
        <v>169252.39057122424</v>
      </c>
      <c r="U62" s="603">
        <v>169252.39057122424</v>
      </c>
      <c r="V62" s="605">
        <f>SUM(L62:T62)</f>
        <v>1523271.5151410182</v>
      </c>
      <c r="W62" s="605">
        <f>U62+J62+K62</f>
        <v>507757.17171367269</v>
      </c>
    </row>
    <row r="63" spans="1:24" x14ac:dyDescent="0.35">
      <c r="A63" s="311" t="s">
        <v>518</v>
      </c>
      <c r="B63" s="311" t="s">
        <v>518</v>
      </c>
      <c r="C63" s="311" t="s">
        <v>517</v>
      </c>
      <c r="D63" s="311" t="s">
        <v>517</v>
      </c>
      <c r="E63" s="245" t="s">
        <v>517</v>
      </c>
      <c r="F63" s="245" t="s">
        <v>517</v>
      </c>
      <c r="I63" s="604">
        <f>SUM(J63:U63)</f>
        <v>2623875.4664045228</v>
      </c>
      <c r="J63" s="603">
        <v>274788.33804034855</v>
      </c>
      <c r="K63" s="603">
        <v>247387.79151210864</v>
      </c>
      <c r="L63" s="603">
        <v>215862.43076273322</v>
      </c>
      <c r="M63" s="603">
        <v>191668.45988080461</v>
      </c>
      <c r="N63" s="603">
        <v>187612.8231433715</v>
      </c>
      <c r="O63" s="603">
        <v>157750.2841318812</v>
      </c>
      <c r="P63" s="603">
        <v>187107.38711945873</v>
      </c>
      <c r="Q63" s="603">
        <v>201475.16185175837</v>
      </c>
      <c r="R63" s="603">
        <v>197984.5737715782</v>
      </c>
      <c r="S63" s="603">
        <v>200130.34604749631</v>
      </c>
      <c r="T63" s="603">
        <v>254427.28414457632</v>
      </c>
      <c r="U63" s="603">
        <v>307680.5859984071</v>
      </c>
      <c r="V63" s="605">
        <f>SUM(L63:T63)</f>
        <v>1794018.7508536589</v>
      </c>
      <c r="W63" s="605">
        <f>U63+J63+K63</f>
        <v>829856.71555086435</v>
      </c>
    </row>
    <row r="64" spans="1:24" x14ac:dyDescent="0.35">
      <c r="A64" s="311" t="s">
        <v>498</v>
      </c>
      <c r="B64" s="311" t="s">
        <v>503</v>
      </c>
      <c r="C64" s="311" t="s">
        <v>497</v>
      </c>
      <c r="D64" s="311" t="s">
        <v>502</v>
      </c>
      <c r="E64" s="245" t="s">
        <v>497</v>
      </c>
      <c r="F64" s="245" t="s">
        <v>502</v>
      </c>
      <c r="I64" s="604">
        <f>SUM(J64:U64)</f>
        <v>17906797.271426242</v>
      </c>
      <c r="J64" s="603">
        <v>2458408.7247689478</v>
      </c>
      <c r="K64" s="603">
        <v>2278157.9662579494</v>
      </c>
      <c r="L64" s="603">
        <v>1315907.6304942125</v>
      </c>
      <c r="M64" s="603">
        <v>1164023.0235031981</v>
      </c>
      <c r="N64" s="603">
        <v>1133038.0667948993</v>
      </c>
      <c r="O64" s="603">
        <v>918762.48717812018</v>
      </c>
      <c r="P64" s="603">
        <v>1051929.7583835777</v>
      </c>
      <c r="Q64" s="603">
        <v>1090481.7547840329</v>
      </c>
      <c r="R64" s="603">
        <v>1264665.9762323487</v>
      </c>
      <c r="S64" s="603">
        <v>1146702.6676272147</v>
      </c>
      <c r="T64" s="603">
        <v>1558747.8218853239</v>
      </c>
      <c r="U64" s="603">
        <v>2525971.3935164176</v>
      </c>
      <c r="V64" s="605">
        <f>SUM(L64:T64)</f>
        <v>10644259.186882928</v>
      </c>
      <c r="W64" s="605">
        <f>U64+J64+K64</f>
        <v>7262538.0845433148</v>
      </c>
    </row>
    <row r="65" spans="1:24" x14ac:dyDescent="0.35">
      <c r="A65" s="311" t="s">
        <v>496</v>
      </c>
      <c r="B65" s="311" t="s">
        <v>501</v>
      </c>
      <c r="C65" s="311" t="s">
        <v>495</v>
      </c>
      <c r="D65" s="311" t="s">
        <v>500</v>
      </c>
      <c r="E65" s="245" t="s">
        <v>495</v>
      </c>
      <c r="F65" s="245" t="s">
        <v>500</v>
      </c>
      <c r="I65" s="604">
        <f>SUM(J65:U65)</f>
        <v>26120911.895621233</v>
      </c>
      <c r="J65" s="603">
        <v>3604452.3763209111</v>
      </c>
      <c r="K65" s="603">
        <v>329286.57442751859</v>
      </c>
      <c r="L65" s="603">
        <v>2166991.695540512</v>
      </c>
      <c r="M65" s="603">
        <v>1982709.2935329454</v>
      </c>
      <c r="N65" s="603">
        <v>1960644.7103246311</v>
      </c>
      <c r="O65" s="603">
        <v>1658921.9305903332</v>
      </c>
      <c r="P65" s="603">
        <v>1926839.2962800222</v>
      </c>
      <c r="Q65" s="603">
        <v>1948155.8356524857</v>
      </c>
      <c r="R65" s="603">
        <v>2223809.4315205705</v>
      </c>
      <c r="S65" s="603">
        <v>1971422.0710314196</v>
      </c>
      <c r="T65" s="603">
        <v>2567994.8077748539</v>
      </c>
      <c r="U65" s="603">
        <v>3779683.8726250259</v>
      </c>
      <c r="V65" s="605">
        <f>SUM(L65:T65)</f>
        <v>18407489.072247773</v>
      </c>
      <c r="W65" s="605">
        <f>U65+J65+K65</f>
        <v>7713422.8233734556</v>
      </c>
    </row>
    <row r="66" spans="1:24" x14ac:dyDescent="0.35">
      <c r="A66" s="311" t="s">
        <v>492</v>
      </c>
      <c r="B66" s="311" t="s">
        <v>494</v>
      </c>
      <c r="C66" s="311" t="s">
        <v>499</v>
      </c>
      <c r="D66" s="311" t="s">
        <v>493</v>
      </c>
      <c r="E66" s="245" t="s">
        <v>499</v>
      </c>
      <c r="F66" s="245" t="s">
        <v>493</v>
      </c>
      <c r="I66" s="604">
        <f>SUM(J66:U66)</f>
        <v>24601917.631114293</v>
      </c>
      <c r="J66" s="603">
        <v>3038969.849285922</v>
      </c>
      <c r="K66" s="603">
        <v>3131592.4921403695</v>
      </c>
      <c r="L66" s="603">
        <v>1652085.1724918832</v>
      </c>
      <c r="M66" s="603">
        <v>1669638.7673201901</v>
      </c>
      <c r="N66" s="603">
        <v>1516521.8773316809</v>
      </c>
      <c r="O66" s="603">
        <v>1541496.9041131665</v>
      </c>
      <c r="P66" s="603">
        <v>1700845.7467598459</v>
      </c>
      <c r="Q66" s="603">
        <v>1538911.5811351934</v>
      </c>
      <c r="R66" s="603">
        <v>1702625.4713387163</v>
      </c>
      <c r="S66" s="603">
        <v>1812826.5441378737</v>
      </c>
      <c r="T66" s="603">
        <v>2107573.8596619717</v>
      </c>
      <c r="U66" s="603">
        <v>3188829.3653974822</v>
      </c>
      <c r="V66" s="605">
        <f>SUM(L66:T66)</f>
        <v>15242525.924290521</v>
      </c>
      <c r="W66" s="605">
        <f>U66+J66+K66</f>
        <v>9359391.7068237737</v>
      </c>
    </row>
    <row r="67" spans="1:24" x14ac:dyDescent="0.35">
      <c r="A67" s="247" t="s">
        <v>271</v>
      </c>
      <c r="I67" s="601">
        <f>SUM(I68:I72)</f>
        <v>100250002.23933131</v>
      </c>
      <c r="J67" s="602"/>
      <c r="K67" s="602"/>
      <c r="L67" s="602"/>
      <c r="M67" s="602"/>
      <c r="N67" s="602"/>
      <c r="O67" s="602"/>
      <c r="P67" s="602"/>
      <c r="Q67" s="602"/>
      <c r="R67" s="602"/>
      <c r="S67" s="602"/>
      <c r="T67" s="602"/>
      <c r="U67" s="602"/>
      <c r="V67" s="603">
        <f>+V66+V65+V64+V63+V62</f>
        <v>47611564.4494159</v>
      </c>
      <c r="W67" s="603">
        <f>+W66+W65+W64+W63+W62</f>
        <v>25672966.502005082</v>
      </c>
      <c r="X67" s="245">
        <f>+V67+W67</f>
        <v>73284530.951420978</v>
      </c>
    </row>
    <row r="68" spans="1:24" x14ac:dyDescent="0.35">
      <c r="A68" s="311" t="s">
        <v>342</v>
      </c>
      <c r="B68" s="311" t="s">
        <v>342</v>
      </c>
      <c r="C68" s="311" t="s">
        <v>1062</v>
      </c>
      <c r="D68" s="328" t="s">
        <v>1387</v>
      </c>
      <c r="E68" s="245" t="s">
        <v>1062</v>
      </c>
      <c r="F68" s="245" t="s">
        <v>1062</v>
      </c>
      <c r="I68" s="604">
        <f>SUM(J68:U68)</f>
        <v>11352225.634654567</v>
      </c>
      <c r="J68" s="603">
        <v>946018.80288788036</v>
      </c>
      <c r="K68" s="603">
        <v>946018.80288788036</v>
      </c>
      <c r="L68" s="603">
        <v>946018.80288788036</v>
      </c>
      <c r="M68" s="603">
        <v>946018.80288788036</v>
      </c>
      <c r="N68" s="603">
        <v>946018.80288788036</v>
      </c>
      <c r="O68" s="603">
        <v>946018.80288788036</v>
      </c>
      <c r="P68" s="603">
        <v>946018.80288788036</v>
      </c>
      <c r="Q68" s="603">
        <v>946018.80288788036</v>
      </c>
      <c r="R68" s="603">
        <v>946018.80288788036</v>
      </c>
      <c r="S68" s="603">
        <v>946018.80288788036</v>
      </c>
      <c r="T68" s="603">
        <v>946018.80288788036</v>
      </c>
      <c r="U68" s="603">
        <v>946018.80288788036</v>
      </c>
      <c r="V68" s="605">
        <f>SUM(L68:T68)</f>
        <v>8514169.2259909231</v>
      </c>
      <c r="W68" s="605">
        <f>U68+J68+K68</f>
        <v>2838056.4086636412</v>
      </c>
    </row>
    <row r="69" spans="1:24" x14ac:dyDescent="0.35">
      <c r="A69" s="311" t="s">
        <v>272</v>
      </c>
      <c r="B69" s="311" t="s">
        <v>272</v>
      </c>
      <c r="C69" s="311" t="s">
        <v>1063</v>
      </c>
      <c r="D69" s="311" t="s">
        <v>1063</v>
      </c>
      <c r="E69" s="245" t="s">
        <v>1063</v>
      </c>
      <c r="F69" s="245" t="s">
        <v>1063</v>
      </c>
      <c r="I69" s="604">
        <f>SUM(J69:U69)</f>
        <v>2710620.639283495</v>
      </c>
      <c r="J69" s="603">
        <v>283493.68061209802</v>
      </c>
      <c r="K69" s="603">
        <v>266440.29444804846</v>
      </c>
      <c r="L69" s="603">
        <v>244293.52967305493</v>
      </c>
      <c r="M69" s="603">
        <v>218600.26423562627</v>
      </c>
      <c r="N69" s="603">
        <v>208828.52304870408</v>
      </c>
      <c r="O69" s="603">
        <v>177664.5916958171</v>
      </c>
      <c r="P69" s="603">
        <v>190982.83354517439</v>
      </c>
      <c r="Q69" s="603">
        <v>185361.25270791026</v>
      </c>
      <c r="R69" s="603">
        <v>195623.46739070115</v>
      </c>
      <c r="S69" s="603">
        <v>201094.13330615946</v>
      </c>
      <c r="T69" s="603">
        <v>256479.90960886906</v>
      </c>
      <c r="U69" s="603">
        <v>281758.15901133191</v>
      </c>
      <c r="V69" s="605">
        <f>SUM(L69:T69)</f>
        <v>1878928.5052120166</v>
      </c>
      <c r="W69" s="605">
        <f>U69+J69+K69</f>
        <v>831692.13407147839</v>
      </c>
    </row>
    <row r="70" spans="1:24" x14ac:dyDescent="0.35">
      <c r="A70" s="311" t="s">
        <v>349</v>
      </c>
      <c r="B70" s="311" t="s">
        <v>345</v>
      </c>
      <c r="C70" s="311" t="s">
        <v>878</v>
      </c>
      <c r="D70" s="311" t="s">
        <v>881</v>
      </c>
      <c r="E70" s="245" t="s">
        <v>878</v>
      </c>
      <c r="F70" s="245" t="s">
        <v>881</v>
      </c>
      <c r="I70" s="604">
        <f>SUM(J70:U70)</f>
        <v>20862028.202774014</v>
      </c>
      <c r="J70" s="603">
        <v>2896978.9231854836</v>
      </c>
      <c r="K70" s="603">
        <v>2806072.3119069966</v>
      </c>
      <c r="L70" s="603">
        <v>1672319.327633702</v>
      </c>
      <c r="M70" s="603">
        <v>1465211.8216818674</v>
      </c>
      <c r="N70" s="603">
        <v>1397846.8378413925</v>
      </c>
      <c r="O70" s="603">
        <v>1077071.4620769515</v>
      </c>
      <c r="P70" s="603">
        <v>1146427.4137986645</v>
      </c>
      <c r="Q70" s="603">
        <v>1060127.1542500395</v>
      </c>
      <c r="R70" s="603">
        <v>1334112.4424902343</v>
      </c>
      <c r="S70" s="603">
        <v>1232418.4877469088</v>
      </c>
      <c r="T70" s="603">
        <v>1795314.2963911195</v>
      </c>
      <c r="U70" s="603">
        <v>2978127.7237706557</v>
      </c>
      <c r="V70" s="605">
        <f>SUM(L70:T70)</f>
        <v>12180849.243910883</v>
      </c>
      <c r="W70" s="605">
        <f>U70+J70+K70</f>
        <v>8681178.9588631354</v>
      </c>
    </row>
    <row r="71" spans="1:24" x14ac:dyDescent="0.35">
      <c r="A71" s="311" t="s">
        <v>353</v>
      </c>
      <c r="B71" s="311" t="s">
        <v>273</v>
      </c>
      <c r="C71" s="311" t="s">
        <v>877</v>
      </c>
      <c r="D71" s="311" t="s">
        <v>880</v>
      </c>
      <c r="E71" s="245" t="s">
        <v>877</v>
      </c>
      <c r="F71" s="245" t="s">
        <v>880</v>
      </c>
      <c r="I71" s="604">
        <f>SUM(J71:U71)</f>
        <v>36738940.880117327</v>
      </c>
      <c r="J71" s="603">
        <v>5089355.9430028675</v>
      </c>
      <c r="K71" s="603">
        <v>4876921.3866804205</v>
      </c>
      <c r="L71" s="603">
        <v>2855938.6554608084</v>
      </c>
      <c r="M71" s="603">
        <v>2608406.4127191701</v>
      </c>
      <c r="N71" s="603">
        <v>2492969.492126537</v>
      </c>
      <c r="O71" s="603">
        <v>1959694.5117809125</v>
      </c>
      <c r="P71" s="603">
        <v>2111696.7001344278</v>
      </c>
      <c r="Q71" s="603">
        <v>1899462.4040453499</v>
      </c>
      <c r="R71" s="603">
        <v>2372104.4672687436</v>
      </c>
      <c r="S71" s="603">
        <v>2151327.2053952562</v>
      </c>
      <c r="T71" s="603">
        <v>3087293.4679100765</v>
      </c>
      <c r="U71" s="603">
        <v>5233770.2335927542</v>
      </c>
      <c r="V71" s="605">
        <f>SUM(L71:T71)</f>
        <v>21538893.316841282</v>
      </c>
      <c r="W71" s="605">
        <f>U71+J71+K71</f>
        <v>15200047.563276041</v>
      </c>
    </row>
    <row r="72" spans="1:24" x14ac:dyDescent="0.35">
      <c r="A72" s="311" t="s">
        <v>351</v>
      </c>
      <c r="B72" s="311" t="s">
        <v>274</v>
      </c>
      <c r="C72" s="311" t="s">
        <v>879</v>
      </c>
      <c r="D72" s="311" t="s">
        <v>882</v>
      </c>
      <c r="E72" s="245" t="s">
        <v>879</v>
      </c>
      <c r="F72" s="245" t="s">
        <v>882</v>
      </c>
      <c r="I72" s="604">
        <f>SUM(J72:U72)</f>
        <v>28586186.882501896</v>
      </c>
      <c r="J72" s="603">
        <v>3563985.0192692541</v>
      </c>
      <c r="K72" s="603">
        <v>3856350.6790878526</v>
      </c>
      <c r="L72" s="603">
        <v>2117333.6243646075</v>
      </c>
      <c r="M72" s="603">
        <v>2137625.6753020831</v>
      </c>
      <c r="N72" s="603">
        <v>1883013.5766669242</v>
      </c>
      <c r="O72" s="603">
        <v>1782054.5969959567</v>
      </c>
      <c r="P72" s="603">
        <v>1865293.6417972525</v>
      </c>
      <c r="Q72" s="603">
        <v>1487934.9051276441</v>
      </c>
      <c r="R72" s="603">
        <v>1770749.8866532249</v>
      </c>
      <c r="S72" s="603">
        <v>1944152.6934223836</v>
      </c>
      <c r="T72" s="603">
        <v>2476961.4693335854</v>
      </c>
      <c r="U72" s="603">
        <v>3700731.1144811264</v>
      </c>
      <c r="V72" s="605">
        <f>SUM(L72:T72)</f>
        <v>17465120.069663662</v>
      </c>
      <c r="W72" s="605">
        <f>U72+J72+K72</f>
        <v>11121066.812838234</v>
      </c>
    </row>
    <row r="73" spans="1:24" x14ac:dyDescent="0.35">
      <c r="A73" s="247" t="s">
        <v>547</v>
      </c>
      <c r="I73" s="601">
        <f>SUM(I74:I76)</f>
        <v>8308327.4958704691</v>
      </c>
      <c r="J73" s="602"/>
      <c r="K73" s="602"/>
      <c r="L73" s="602"/>
      <c r="M73" s="602"/>
      <c r="N73" s="602"/>
      <c r="O73" s="602"/>
      <c r="P73" s="602"/>
      <c r="Q73" s="602"/>
      <c r="R73" s="602"/>
      <c r="S73" s="602"/>
      <c r="T73" s="602"/>
      <c r="U73" s="602"/>
      <c r="V73" s="603">
        <f>+V72+V71+V70+V69+V68</f>
        <v>61577960.361618765</v>
      </c>
      <c r="W73" s="603">
        <f>+W72+W71+W70+W69+W68</f>
        <v>38672041.877712525</v>
      </c>
      <c r="X73" s="245">
        <f>+V73+W73</f>
        <v>100250002.23933129</v>
      </c>
    </row>
    <row r="74" spans="1:24" x14ac:dyDescent="0.35">
      <c r="A74" s="311" t="s">
        <v>489</v>
      </c>
      <c r="B74" s="311" t="s">
        <v>276</v>
      </c>
      <c r="C74" s="311" t="s">
        <v>488</v>
      </c>
      <c r="D74" s="311" t="s">
        <v>822</v>
      </c>
      <c r="E74" s="245" t="s">
        <v>488</v>
      </c>
      <c r="F74" s="245" t="s">
        <v>822</v>
      </c>
      <c r="I74" s="604">
        <f>SUM(J74:U74)</f>
        <v>1989328.1827349765</v>
      </c>
      <c r="J74" s="603">
        <v>225363.24716043111</v>
      </c>
      <c r="K74" s="603">
        <v>195021.75084302729</v>
      </c>
      <c r="L74" s="603">
        <v>117014.19375967368</v>
      </c>
      <c r="M74" s="603">
        <v>143456.14813793803</v>
      </c>
      <c r="N74" s="603">
        <v>142856.19658154828</v>
      </c>
      <c r="O74" s="603">
        <v>112435.96918319781</v>
      </c>
      <c r="P74" s="603">
        <v>160616.10439537998</v>
      </c>
      <c r="Q74" s="603">
        <v>165892.99460222031</v>
      </c>
      <c r="R74" s="603">
        <v>159100.252353277</v>
      </c>
      <c r="S74" s="603">
        <v>145922.08320916942</v>
      </c>
      <c r="T74" s="603">
        <v>150885.58019086684</v>
      </c>
      <c r="U74" s="603">
        <v>270763.66231824685</v>
      </c>
      <c r="V74" s="605">
        <f>SUM(L74:T74)</f>
        <v>1298179.5224132715</v>
      </c>
      <c r="W74" s="605">
        <f>U74+J74+K74</f>
        <v>691148.66032170528</v>
      </c>
    </row>
    <row r="75" spans="1:24" x14ac:dyDescent="0.35">
      <c r="A75" s="311" t="s">
        <v>487</v>
      </c>
      <c r="B75" s="311" t="s">
        <v>277</v>
      </c>
      <c r="C75" s="311" t="s">
        <v>486</v>
      </c>
      <c r="D75" s="311" t="s">
        <v>821</v>
      </c>
      <c r="E75" s="245" t="s">
        <v>486</v>
      </c>
      <c r="F75" s="245" t="s">
        <v>821</v>
      </c>
      <c r="I75" s="604">
        <f>SUM(J75:U75)</f>
        <v>3021139.5956068537</v>
      </c>
      <c r="J75" s="603">
        <v>295420.57178809936</v>
      </c>
      <c r="K75" s="603">
        <v>267759.22465590847</v>
      </c>
      <c r="L75" s="603">
        <v>186643.29611756769</v>
      </c>
      <c r="M75" s="603">
        <v>229783.78363158982</v>
      </c>
      <c r="N75" s="603">
        <v>221770.49237397997</v>
      </c>
      <c r="O75" s="603">
        <v>182999.31141880687</v>
      </c>
      <c r="P75" s="603">
        <v>259680.78295426845</v>
      </c>
      <c r="Q75" s="603">
        <v>266186.85942740523</v>
      </c>
      <c r="R75" s="603">
        <v>263973.51653680182</v>
      </c>
      <c r="S75" s="603">
        <v>242885.23804364595</v>
      </c>
      <c r="T75" s="603">
        <v>239238.82887070102</v>
      </c>
      <c r="U75" s="603">
        <v>364797.68978807877</v>
      </c>
      <c r="V75" s="605">
        <f>SUM(L75:T75)</f>
        <v>2093162.1093747667</v>
      </c>
      <c r="W75" s="605">
        <f>U75+J75+K75</f>
        <v>927977.48623208655</v>
      </c>
    </row>
    <row r="76" spans="1:24" x14ac:dyDescent="0.35">
      <c r="A76" s="311" t="s">
        <v>480</v>
      </c>
      <c r="B76" s="311" t="s">
        <v>278</v>
      </c>
      <c r="C76" s="311" t="s">
        <v>482</v>
      </c>
      <c r="D76" s="311" t="s">
        <v>823</v>
      </c>
      <c r="E76" s="245" t="s">
        <v>482</v>
      </c>
      <c r="F76" s="245" t="s">
        <v>823</v>
      </c>
      <c r="I76" s="604">
        <f>SUM(J76:U76)</f>
        <v>3297859.7175286389</v>
      </c>
      <c r="J76" s="603">
        <v>322811.76159552624</v>
      </c>
      <c r="K76" s="603">
        <v>366029.56987812719</v>
      </c>
      <c r="L76" s="603">
        <v>202862.84231803165</v>
      </c>
      <c r="M76" s="603">
        <v>224936.05123681368</v>
      </c>
      <c r="N76" s="603">
        <v>221956.9833674799</v>
      </c>
      <c r="O76" s="603">
        <v>254660.3334755314</v>
      </c>
      <c r="P76" s="603">
        <v>258714.98950740017</v>
      </c>
      <c r="Q76" s="603">
        <v>254743.93108419792</v>
      </c>
      <c r="R76" s="603">
        <v>288860.70002025994</v>
      </c>
      <c r="S76" s="603">
        <v>262461.91689337493</v>
      </c>
      <c r="T76" s="603">
        <v>234527.24272166734</v>
      </c>
      <c r="U76" s="603">
        <v>405293.39543022803</v>
      </c>
      <c r="V76" s="605">
        <f>SUM(L76:T76)</f>
        <v>2203724.990624757</v>
      </c>
      <c r="W76" s="605">
        <f>U76+J76+K76</f>
        <v>1094134.7269038814</v>
      </c>
    </row>
    <row r="77" spans="1:24" x14ac:dyDescent="0.35">
      <c r="A77" s="247" t="s">
        <v>1478</v>
      </c>
      <c r="I77" s="601">
        <f>SUM(I78:I80)</f>
        <v>2193626.6250566863</v>
      </c>
      <c r="J77" s="602"/>
      <c r="K77" s="602"/>
      <c r="L77" s="602"/>
      <c r="M77" s="602"/>
      <c r="N77" s="602"/>
      <c r="O77" s="602"/>
      <c r="P77" s="602"/>
      <c r="Q77" s="602"/>
      <c r="R77" s="602"/>
      <c r="S77" s="602"/>
      <c r="T77" s="602"/>
      <c r="U77" s="602"/>
      <c r="V77" s="603">
        <f>+V76+V75+V74</f>
        <v>5595066.6224127952</v>
      </c>
      <c r="W77" s="603">
        <f>+W76+W75+W74</f>
        <v>2713260.873457673</v>
      </c>
      <c r="X77" s="245">
        <f>+W77+V77</f>
        <v>8308327.4958704682</v>
      </c>
    </row>
    <row r="78" spans="1:24" x14ac:dyDescent="0.35">
      <c r="A78" s="311" t="s">
        <v>507</v>
      </c>
      <c r="B78" s="311" t="s">
        <v>443</v>
      </c>
      <c r="C78" s="311" t="s">
        <v>506</v>
      </c>
      <c r="D78" s="311" t="s">
        <v>1053</v>
      </c>
      <c r="E78" s="245" t="s">
        <v>506</v>
      </c>
      <c r="F78" s="245" t="s">
        <v>1053</v>
      </c>
      <c r="I78" s="604">
        <f>SUM(J78:U78)</f>
        <v>601700.22867326182</v>
      </c>
      <c r="J78" s="603">
        <v>67036.267785181393</v>
      </c>
      <c r="K78" s="603">
        <v>60206.159006456517</v>
      </c>
      <c r="L78" s="603">
        <v>27989.287555271698</v>
      </c>
      <c r="M78" s="603">
        <v>35325.087629612994</v>
      </c>
      <c r="N78" s="603">
        <v>32005.420450437312</v>
      </c>
      <c r="O78" s="603">
        <v>31450.63911478702</v>
      </c>
      <c r="P78" s="603">
        <v>45788.611566459651</v>
      </c>
      <c r="Q78" s="603">
        <v>45612.09674092786</v>
      </c>
      <c r="R78" s="603">
        <v>43092.527486201754</v>
      </c>
      <c r="S78" s="603">
        <v>41204.667241039497</v>
      </c>
      <c r="T78" s="603">
        <v>54553.498005611284</v>
      </c>
      <c r="U78" s="603">
        <v>117435.96609127492</v>
      </c>
      <c r="V78" s="605">
        <f>SUM(L78:T78)</f>
        <v>357021.83579034905</v>
      </c>
      <c r="W78" s="605">
        <f>U78+J78+K78</f>
        <v>244678.39288291286</v>
      </c>
    </row>
    <row r="79" spans="1:24" x14ac:dyDescent="0.35">
      <c r="A79" s="311" t="s">
        <v>505</v>
      </c>
      <c r="B79" s="311" t="s">
        <v>445</v>
      </c>
      <c r="C79" s="311" t="s">
        <v>504</v>
      </c>
      <c r="D79" s="311" t="s">
        <v>1052</v>
      </c>
      <c r="E79" s="245" t="s">
        <v>504</v>
      </c>
      <c r="F79" s="245" t="s">
        <v>1052</v>
      </c>
      <c r="I79" s="604">
        <f>SUM(J79:U79)</f>
        <v>869085.59248840518</v>
      </c>
      <c r="J79" s="603">
        <v>91853.633238576251</v>
      </c>
      <c r="K79" s="603">
        <v>87133.635080623149</v>
      </c>
      <c r="L79" s="603">
        <v>42246.452958932547</v>
      </c>
      <c r="M79" s="603">
        <v>54381.254962800391</v>
      </c>
      <c r="N79" s="603">
        <v>50272.328423407533</v>
      </c>
      <c r="O79" s="603">
        <v>49025.311208786996</v>
      </c>
      <c r="P79" s="603">
        <v>74111.387820915246</v>
      </c>
      <c r="Q79" s="603">
        <v>73788.542445863393</v>
      </c>
      <c r="R79" s="603">
        <v>72326.516726172413</v>
      </c>
      <c r="S79" s="603">
        <v>61970.621642149476</v>
      </c>
      <c r="T79" s="603">
        <v>73451.016024908909</v>
      </c>
      <c r="U79" s="603">
        <v>138524.89195526883</v>
      </c>
      <c r="V79" s="605">
        <f>SUM(L79:T79)</f>
        <v>551573.43221393693</v>
      </c>
      <c r="W79" s="605">
        <f>U79+J79+K79</f>
        <v>317512.16027446825</v>
      </c>
    </row>
    <row r="80" spans="1:24" x14ac:dyDescent="0.35">
      <c r="A80" s="311" t="s">
        <v>509</v>
      </c>
      <c r="B80" s="311" t="s">
        <v>441</v>
      </c>
      <c r="C80" s="311" t="s">
        <v>508</v>
      </c>
      <c r="D80" s="311" t="s">
        <v>1054</v>
      </c>
      <c r="E80" s="245" t="s">
        <v>508</v>
      </c>
      <c r="F80" s="245" t="s">
        <v>1054</v>
      </c>
      <c r="I80" s="604">
        <f>SUM(J80:U80)</f>
        <v>722840.80389501946</v>
      </c>
      <c r="J80" s="603">
        <v>92168.919078485109</v>
      </c>
      <c r="K80" s="603">
        <v>96520.568999141688</v>
      </c>
      <c r="L80" s="603">
        <v>38089.946636774504</v>
      </c>
      <c r="M80" s="603">
        <v>43841.629803679505</v>
      </c>
      <c r="N80" s="603">
        <v>42733.03729015548</v>
      </c>
      <c r="O80" s="603">
        <v>50159.223860250386</v>
      </c>
      <c r="P80" s="603">
        <v>55883.806217046324</v>
      </c>
      <c r="Q80" s="603">
        <v>47661.714828636701</v>
      </c>
      <c r="R80" s="603">
        <v>52701.618608607205</v>
      </c>
      <c r="S80" s="603">
        <v>51576.652688975642</v>
      </c>
      <c r="T80" s="603">
        <v>49207.307905169408</v>
      </c>
      <c r="U80" s="603">
        <v>102296.3779780974</v>
      </c>
      <c r="V80" s="605">
        <f>SUM(L80:T80)</f>
        <v>431854.93783929513</v>
      </c>
      <c r="W80" s="605">
        <f>U80+J80+K80</f>
        <v>290985.86605572421</v>
      </c>
    </row>
    <row r="81" spans="1:24" x14ac:dyDescent="0.35">
      <c r="A81" s="247" t="s">
        <v>1479</v>
      </c>
      <c r="B81" s="248"/>
      <c r="C81" s="248"/>
      <c r="D81" s="248"/>
      <c r="I81" s="601">
        <f>I82</f>
        <v>689497.36252966407</v>
      </c>
      <c r="J81" s="606"/>
      <c r="K81" s="606"/>
      <c r="L81" s="606"/>
      <c r="M81" s="638"/>
      <c r="N81" s="638"/>
      <c r="O81" s="638"/>
      <c r="P81" s="606"/>
      <c r="Q81" s="606"/>
      <c r="R81" s="606"/>
      <c r="S81" s="606"/>
      <c r="T81" s="606"/>
      <c r="U81" s="606"/>
      <c r="V81" s="611">
        <f>+V80+V79+V78</f>
        <v>1340450.2058435811</v>
      </c>
      <c r="W81" s="611">
        <f>+W80+W79+W78</f>
        <v>853176.41921310534</v>
      </c>
      <c r="X81" s="245">
        <f>+W81+V81</f>
        <v>2193626.6250566863</v>
      </c>
    </row>
    <row r="82" spans="1:24" x14ac:dyDescent="0.35">
      <c r="A82" s="328" t="s">
        <v>1488</v>
      </c>
      <c r="B82" s="328" t="s">
        <v>1488</v>
      </c>
      <c r="C82" s="328" t="s">
        <v>1481</v>
      </c>
      <c r="D82" s="328" t="s">
        <v>1481</v>
      </c>
      <c r="I82" s="604">
        <f>SUM(J82:U82)</f>
        <v>689497.36252966407</v>
      </c>
      <c r="J82" s="603">
        <v>52643.150792302244</v>
      </c>
      <c r="K82" s="603">
        <v>85733.953736746131</v>
      </c>
      <c r="L82" s="603">
        <v>93100.195145183447</v>
      </c>
      <c r="M82" s="603">
        <v>48695.202339128438</v>
      </c>
      <c r="N82" s="603">
        <v>43841.631958277663</v>
      </c>
      <c r="O82" s="603">
        <v>68725.208378852243</v>
      </c>
      <c r="P82" s="603">
        <v>36966.708829151918</v>
      </c>
      <c r="Q82" s="603">
        <v>60497.073023815465</v>
      </c>
      <c r="R82" s="603">
        <v>27559.618953766563</v>
      </c>
      <c r="S82" s="603">
        <v>52413.834036956992</v>
      </c>
      <c r="T82" s="603">
        <v>50822.904886983837</v>
      </c>
      <c r="U82" s="603">
        <v>68497.880448499156</v>
      </c>
      <c r="V82" s="605">
        <f>SUM(L82:T82)</f>
        <v>482622.37755211658</v>
      </c>
      <c r="W82" s="605">
        <f>U82+J82+K82</f>
        <v>206874.98497754754</v>
      </c>
    </row>
    <row r="83" spans="1:24" x14ac:dyDescent="0.35">
      <c r="A83" s="248" t="s">
        <v>485</v>
      </c>
      <c r="B83" s="248" t="s">
        <v>485</v>
      </c>
      <c r="C83" s="248"/>
      <c r="D83" s="248"/>
      <c r="E83" s="248"/>
      <c r="F83" s="248"/>
      <c r="G83" s="248"/>
      <c r="H83" s="248"/>
      <c r="I83" s="612">
        <f>SUM(J83:U83)</f>
        <v>114228154.81480668</v>
      </c>
      <c r="J83" s="603">
        <v>9763809.0587592181</v>
      </c>
      <c r="K83" s="603">
        <v>9785630.4465731233</v>
      </c>
      <c r="L83" s="603">
        <v>9481904.2378401924</v>
      </c>
      <c r="M83" s="603">
        <v>9803130.7980665807</v>
      </c>
      <c r="N83" s="603">
        <v>9528363.8962131403</v>
      </c>
      <c r="O83" s="603">
        <v>9351509.0207296535</v>
      </c>
      <c r="P83" s="603">
        <v>9365402.4025810882</v>
      </c>
      <c r="Q83" s="603">
        <v>9437395.3812657967</v>
      </c>
      <c r="R83" s="603">
        <v>9674845.9074539598</v>
      </c>
      <c r="S83" s="603">
        <v>9318670.1181717142</v>
      </c>
      <c r="T83" s="603">
        <v>9351509.0207296535</v>
      </c>
      <c r="U83" s="603">
        <v>9365984.5264225416</v>
      </c>
      <c r="V83" s="605">
        <f>SUM(L83:T83)</f>
        <v>85312730.783051789</v>
      </c>
      <c r="W83" s="605">
        <f>U83+J83+K83</f>
        <v>28915424.031754881</v>
      </c>
      <c r="X83" s="245">
        <f>+V83+W83</f>
        <v>114228154.81480667</v>
      </c>
    </row>
    <row r="84" spans="1:24" x14ac:dyDescent="0.35">
      <c r="A84" s="867"/>
      <c r="B84" s="867"/>
      <c r="C84" s="867"/>
      <c r="D84" s="867"/>
      <c r="E84" s="867"/>
      <c r="F84" s="867"/>
      <c r="G84" s="867"/>
      <c r="H84" s="867"/>
      <c r="I84" s="867"/>
      <c r="J84" s="867"/>
      <c r="K84" s="867"/>
      <c r="L84" s="867"/>
      <c r="M84" s="867"/>
      <c r="N84" s="867"/>
      <c r="O84" s="867"/>
      <c r="P84" s="867"/>
      <c r="Q84" s="867"/>
      <c r="R84" s="867"/>
      <c r="S84" s="867"/>
      <c r="T84" s="867"/>
      <c r="U84" s="867"/>
      <c r="V84" s="875"/>
      <c r="W84" s="875"/>
    </row>
    <row r="85" spans="1:24" x14ac:dyDescent="0.35">
      <c r="A85" s="577"/>
      <c r="B85" s="867"/>
      <c r="C85" s="867"/>
      <c r="D85" s="867"/>
      <c r="E85" s="867"/>
      <c r="F85" s="867"/>
      <c r="G85" s="867"/>
      <c r="H85" s="867"/>
      <c r="I85" s="867"/>
      <c r="J85" s="867"/>
      <c r="K85" s="867"/>
      <c r="L85" s="867"/>
      <c r="M85" s="867"/>
      <c r="N85" s="867"/>
      <c r="O85" s="867"/>
      <c r="P85" s="867"/>
      <c r="Q85" s="867"/>
      <c r="R85" s="867"/>
      <c r="S85" s="867"/>
      <c r="T85" s="867"/>
      <c r="U85" s="867"/>
      <c r="V85" s="875"/>
      <c r="W85" s="875"/>
    </row>
    <row r="86" spans="1:24" ht="15.5" x14ac:dyDescent="0.35">
      <c r="A86" s="867"/>
      <c r="B86" s="867"/>
      <c r="C86" s="603"/>
      <c r="D86" s="603"/>
      <c r="E86" s="603"/>
      <c r="F86" s="603"/>
      <c r="G86" s="603"/>
      <c r="H86" s="603"/>
      <c r="I86" s="876" t="s">
        <v>1894</v>
      </c>
      <c r="J86" s="867"/>
      <c r="K86" s="867"/>
      <c r="L86" s="867"/>
      <c r="M86" s="867"/>
      <c r="N86" s="867"/>
      <c r="O86" s="867"/>
      <c r="P86" s="867"/>
      <c r="Q86" s="867"/>
      <c r="R86" s="867"/>
      <c r="S86" s="867"/>
      <c r="T86" s="867"/>
      <c r="U86" s="867"/>
      <c r="V86" s="875"/>
      <c r="W86" s="875"/>
    </row>
    <row r="87" spans="1:24" ht="15" thickBot="1" x14ac:dyDescent="0.4">
      <c r="A87" s="330"/>
      <c r="B87" s="330"/>
      <c r="I87" s="851" t="s">
        <v>295</v>
      </c>
      <c r="J87" s="852">
        <f t="shared" ref="J87:U87" si="9">SUM(J8:J83)+SUM(J4:J5)</f>
        <v>385895709.32881039</v>
      </c>
      <c r="K87" s="852">
        <f t="shared" si="9"/>
        <v>550531591.36821222</v>
      </c>
      <c r="L87" s="852">
        <f t="shared" si="9"/>
        <v>304698475.08730942</v>
      </c>
      <c r="M87" s="852">
        <f t="shared" si="9"/>
        <v>298910820.82925338</v>
      </c>
      <c r="N87" s="852">
        <f t="shared" si="9"/>
        <v>303324381.25229621</v>
      </c>
      <c r="O87" s="852">
        <f t="shared" si="9"/>
        <v>279365306.1283105</v>
      </c>
      <c r="P87" s="852">
        <f t="shared" si="9"/>
        <v>275341014.60034895</v>
      </c>
      <c r="Q87" s="852">
        <f t="shared" si="9"/>
        <v>220586765.22395033</v>
      </c>
      <c r="R87" s="852">
        <f t="shared" si="9"/>
        <v>227961752.548078</v>
      </c>
      <c r="S87" s="852">
        <f t="shared" si="9"/>
        <v>223338859.71098325</v>
      </c>
      <c r="T87" s="852">
        <f t="shared" si="9"/>
        <v>296120460.67769831</v>
      </c>
      <c r="U87" s="852">
        <f t="shared" si="9"/>
        <v>404437631.04281551</v>
      </c>
      <c r="V87" s="853">
        <f>SUM(J87:U87)</f>
        <v>3770512767.7980666</v>
      </c>
      <c r="W87" s="877"/>
    </row>
    <row r="88" spans="1:24" ht="15" thickTop="1" x14ac:dyDescent="0.35">
      <c r="A88" s="330"/>
      <c r="B88" s="330"/>
      <c r="I88" s="718" t="s">
        <v>542</v>
      </c>
      <c r="J88" s="845">
        <f t="shared" ref="J88:U88" si="10">+J4+J5+J11+J12+J27</f>
        <v>168078990.7646471</v>
      </c>
      <c r="K88" s="719">
        <f t="shared" si="10"/>
        <v>157336073.76712376</v>
      </c>
      <c r="L88" s="719">
        <f t="shared" si="10"/>
        <v>143772262.25238681</v>
      </c>
      <c r="M88" s="719">
        <f t="shared" si="10"/>
        <v>144332643.02230144</v>
      </c>
      <c r="N88" s="719">
        <f t="shared" si="10"/>
        <v>143818988.38312349</v>
      </c>
      <c r="O88" s="719">
        <f t="shared" si="10"/>
        <v>145650451.62173679</v>
      </c>
      <c r="P88" s="719">
        <f t="shared" si="10"/>
        <v>137507802.92069516</v>
      </c>
      <c r="Q88" s="719">
        <f t="shared" si="10"/>
        <v>87051966.524338722</v>
      </c>
      <c r="R88" s="719">
        <f t="shared" si="10"/>
        <v>90771555.962207064</v>
      </c>
      <c r="S88" s="719">
        <f t="shared" si="10"/>
        <v>91535133.037918508</v>
      </c>
      <c r="T88" s="719">
        <f t="shared" si="10"/>
        <v>155821669.0515281</v>
      </c>
      <c r="U88" s="846">
        <f t="shared" si="10"/>
        <v>193636302.6208744</v>
      </c>
      <c r="V88" s="855">
        <f>SUM(J88:U88)</f>
        <v>1659313839.9288816</v>
      </c>
      <c r="W88" s="878"/>
    </row>
    <row r="89" spans="1:24" x14ac:dyDescent="0.35">
      <c r="A89" s="330"/>
      <c r="B89" s="330"/>
      <c r="I89" s="718" t="s">
        <v>297</v>
      </c>
      <c r="J89" s="845">
        <f t="shared" ref="J89:U89" si="11">SUM(J29:J82,J14:J25,J8:J9)</f>
        <v>208052909.50540435</v>
      </c>
      <c r="K89" s="719">
        <f t="shared" si="11"/>
        <v>203127225.79277888</v>
      </c>
      <c r="L89" s="719">
        <f t="shared" si="11"/>
        <v>151444308.59708244</v>
      </c>
      <c r="M89" s="719">
        <f t="shared" si="11"/>
        <v>144775047.00888547</v>
      </c>
      <c r="N89" s="719">
        <f t="shared" si="11"/>
        <v>149977028.97295949</v>
      </c>
      <c r="O89" s="719">
        <f t="shared" si="11"/>
        <v>124363345.48584403</v>
      </c>
      <c r="P89" s="719">
        <f t="shared" si="11"/>
        <v>128467809.27707262</v>
      </c>
      <c r="Q89" s="719">
        <f t="shared" si="11"/>
        <v>124097403.31834586</v>
      </c>
      <c r="R89" s="719">
        <f t="shared" si="11"/>
        <v>127515350.67841706</v>
      </c>
      <c r="S89" s="719">
        <f t="shared" si="11"/>
        <v>122485056.55489309</v>
      </c>
      <c r="T89" s="719">
        <f t="shared" si="11"/>
        <v>130947282.60544068</v>
      </c>
      <c r="U89" s="846">
        <f t="shared" si="11"/>
        <v>201435343.89551845</v>
      </c>
      <c r="V89" s="855">
        <f t="shared" ref="V89" si="12">SUM(J89:U89)</f>
        <v>1816688111.6926422</v>
      </c>
      <c r="W89" s="878"/>
    </row>
    <row r="90" spans="1:24" x14ac:dyDescent="0.35">
      <c r="A90" s="330"/>
      <c r="B90" s="330"/>
      <c r="I90" s="718" t="s">
        <v>298</v>
      </c>
      <c r="J90" s="845">
        <f t="shared" ref="J90:U90" si="13">+J3+J7</f>
        <v>95674.642080742284</v>
      </c>
      <c r="K90" s="719">
        <f t="shared" si="13"/>
        <v>95674.642080742284</v>
      </c>
      <c r="L90" s="719">
        <f t="shared" si="13"/>
        <v>75318.798714710385</v>
      </c>
      <c r="M90" s="719">
        <f t="shared" si="13"/>
        <v>75318.798714710385</v>
      </c>
      <c r="N90" s="719">
        <f t="shared" si="13"/>
        <v>75318.798714710385</v>
      </c>
      <c r="O90" s="719">
        <f t="shared" si="13"/>
        <v>75318.798714710385</v>
      </c>
      <c r="P90" s="719">
        <f t="shared" si="13"/>
        <v>75318.798714710385</v>
      </c>
      <c r="Q90" s="719">
        <f t="shared" si="13"/>
        <v>75318.798714710385</v>
      </c>
      <c r="R90" s="719">
        <f t="shared" si="13"/>
        <v>75318.798714710385</v>
      </c>
      <c r="S90" s="719">
        <f t="shared" si="13"/>
        <v>75318.798714710385</v>
      </c>
      <c r="T90" s="719">
        <f t="shared" si="13"/>
        <v>75318.798714710385</v>
      </c>
      <c r="U90" s="846">
        <f t="shared" si="13"/>
        <v>95674.642080742284</v>
      </c>
      <c r="V90" s="855">
        <f>SUM(J90:U90)</f>
        <v>964893.11467462045</v>
      </c>
      <c r="W90" s="878"/>
    </row>
    <row r="91" spans="1:24" x14ac:dyDescent="0.35">
      <c r="A91" s="330"/>
      <c r="B91" s="330"/>
      <c r="I91" s="720" t="s">
        <v>543</v>
      </c>
      <c r="J91" s="847">
        <f t="shared" ref="J91:U91" si="14">+J83</f>
        <v>9763809.0587592181</v>
      </c>
      <c r="K91" s="721">
        <f t="shared" si="14"/>
        <v>9785630.4465731233</v>
      </c>
      <c r="L91" s="721">
        <f t="shared" si="14"/>
        <v>9481904.2378401924</v>
      </c>
      <c r="M91" s="721">
        <f t="shared" si="14"/>
        <v>9803130.7980665807</v>
      </c>
      <c r="N91" s="721">
        <f t="shared" si="14"/>
        <v>9528363.8962131403</v>
      </c>
      <c r="O91" s="721">
        <f t="shared" si="14"/>
        <v>9351509.0207296535</v>
      </c>
      <c r="P91" s="721">
        <f t="shared" si="14"/>
        <v>9365402.4025810882</v>
      </c>
      <c r="Q91" s="721">
        <f t="shared" si="14"/>
        <v>9437395.3812657967</v>
      </c>
      <c r="R91" s="721">
        <f t="shared" si="14"/>
        <v>9674845.9074539598</v>
      </c>
      <c r="S91" s="721">
        <f t="shared" si="14"/>
        <v>9318670.1181717142</v>
      </c>
      <c r="T91" s="721">
        <f t="shared" si="14"/>
        <v>9351509.0207296535</v>
      </c>
      <c r="U91" s="848">
        <f t="shared" si="14"/>
        <v>9365984.5264225416</v>
      </c>
      <c r="V91" s="856">
        <f>SUM(J91:U91)</f>
        <v>114228154.81480668</v>
      </c>
      <c r="W91" s="879"/>
    </row>
    <row r="92" spans="1:24" x14ac:dyDescent="0.35">
      <c r="D92" s="245" t="s">
        <v>1865</v>
      </c>
      <c r="I92" s="885">
        <f>I83+I81+I77+I73+I67+I61+I54+I47+I40+I35+I30+I28+I26+I21+I16+I13+I10+I6+I2-(I7+I3)</f>
        <v>3590230106.4363308</v>
      </c>
      <c r="J92" s="607">
        <f t="shared" ref="J92:U92" si="15">+J88+J89+J90+J91</f>
        <v>385991383.97089142</v>
      </c>
      <c r="K92" s="607">
        <f t="shared" si="15"/>
        <v>370344604.64855653</v>
      </c>
      <c r="L92" s="607">
        <f t="shared" si="15"/>
        <v>304773793.88602412</v>
      </c>
      <c r="M92" s="607">
        <f t="shared" si="15"/>
        <v>298986139.62796819</v>
      </c>
      <c r="N92" s="607">
        <f t="shared" si="15"/>
        <v>303399700.05101079</v>
      </c>
      <c r="O92" s="607">
        <f t="shared" si="15"/>
        <v>279440624.9270252</v>
      </c>
      <c r="P92" s="607">
        <f t="shared" si="15"/>
        <v>275416333.39906359</v>
      </c>
      <c r="Q92" s="607">
        <f t="shared" si="15"/>
        <v>220662084.02266505</v>
      </c>
      <c r="R92" s="607">
        <f>+R88+R89+R90+R91</f>
        <v>228037071.34679276</v>
      </c>
      <c r="S92" s="607">
        <f t="shared" si="15"/>
        <v>223414178.509698</v>
      </c>
      <c r="T92" s="607">
        <f t="shared" si="15"/>
        <v>296195779.47641313</v>
      </c>
      <c r="U92" s="607">
        <f t="shared" si="15"/>
        <v>404533305.68489611</v>
      </c>
      <c r="V92" s="603"/>
      <c r="W92" s="884"/>
    </row>
    <row r="93" spans="1:24" x14ac:dyDescent="0.35">
      <c r="D93" s="245" t="s">
        <v>298</v>
      </c>
      <c r="I93" s="591">
        <f>+I3+I7</f>
        <v>964893.11467462021</v>
      </c>
      <c r="J93" s="589"/>
      <c r="K93" s="589"/>
      <c r="L93" s="589"/>
      <c r="M93" s="589"/>
      <c r="N93" s="589"/>
      <c r="O93" s="589"/>
      <c r="P93" s="589"/>
      <c r="Q93" s="589"/>
      <c r="R93" s="589"/>
      <c r="S93" s="589"/>
      <c r="T93" s="589"/>
      <c r="U93" s="589"/>
      <c r="V93" s="587"/>
      <c r="W93" s="886"/>
    </row>
    <row r="94" spans="1:24" ht="15" thickBot="1" x14ac:dyDescent="0.4">
      <c r="D94" s="247" t="s">
        <v>1864</v>
      </c>
      <c r="I94" s="725">
        <f>SUM(I92:I93)</f>
        <v>3591194999.5510054</v>
      </c>
      <c r="J94" s="589"/>
      <c r="K94" s="589"/>
      <c r="L94" s="589"/>
      <c r="M94" s="589"/>
      <c r="N94" s="589"/>
      <c r="O94" s="589"/>
      <c r="P94" s="589"/>
      <c r="Q94" s="589"/>
      <c r="R94" s="589"/>
      <c r="S94" s="589"/>
      <c r="T94" s="589"/>
      <c r="U94" s="589"/>
      <c r="V94" s="587"/>
      <c r="W94" s="886"/>
    </row>
    <row r="95" spans="1:24" ht="15" thickTop="1" x14ac:dyDescent="0.35">
      <c r="I95" s="591">
        <f>'Tariff SUMMARY 26-27'!C25-'Tariff Rand Values Old'!I91</f>
        <v>1153562901.9205594</v>
      </c>
      <c r="J95" s="589"/>
      <c r="K95" s="589"/>
      <c r="L95" s="589"/>
      <c r="M95" s="589"/>
      <c r="N95" s="589"/>
      <c r="O95" s="589"/>
      <c r="P95" s="589"/>
      <c r="Q95" s="589"/>
      <c r="R95" s="589"/>
      <c r="S95" s="589"/>
      <c r="T95" s="589"/>
      <c r="U95" s="589"/>
      <c r="V95" s="587"/>
      <c r="W95" s="886"/>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7772-759D-4406-B6CB-C80AF038B802}">
  <sheetPr>
    <tabColor rgb="FF00FF00"/>
  </sheetPr>
  <dimension ref="A1:AA95"/>
  <sheetViews>
    <sheetView workbookViewId="0">
      <selection activeCell="J17" sqref="J17"/>
    </sheetView>
  </sheetViews>
  <sheetFormatPr defaultColWidth="8.6328125" defaultRowHeight="14.5" x14ac:dyDescent="0.35"/>
  <cols>
    <col min="1" max="1" width="19.36328125" style="245" customWidth="1"/>
    <col min="2" max="2" width="13.6328125" style="245" customWidth="1"/>
    <col min="3" max="8" width="0" style="245" hidden="1" customWidth="1"/>
    <col min="9" max="9" width="15.36328125" style="588" customWidth="1"/>
    <col min="10" max="21" width="14.90625" style="594" bestFit="1" customWidth="1"/>
    <col min="22" max="22" width="17.54296875" style="594" customWidth="1"/>
    <col min="23" max="23" width="19.453125" style="594" customWidth="1"/>
    <col min="24" max="24" width="0" style="245" hidden="1" customWidth="1"/>
    <col min="25" max="25" width="8.6328125" style="245"/>
    <col min="26" max="26" width="15.6328125" style="245" bestFit="1" customWidth="1"/>
    <col min="27" max="27" width="14.36328125" style="245" bestFit="1" customWidth="1"/>
    <col min="28" max="28" width="15.453125" style="245" bestFit="1" customWidth="1"/>
    <col min="29" max="16384" width="8.6328125" style="245"/>
  </cols>
  <sheetData>
    <row r="1" spans="1:27" s="247" customFormat="1" x14ac:dyDescent="0.35">
      <c r="A1" s="247" t="s">
        <v>531</v>
      </c>
      <c r="B1" s="247" t="s">
        <v>532</v>
      </c>
      <c r="C1" s="247" t="s">
        <v>548</v>
      </c>
      <c r="D1" s="247" t="s">
        <v>549</v>
      </c>
      <c r="E1" s="247" t="s">
        <v>548</v>
      </c>
      <c r="F1" s="247" t="s">
        <v>549</v>
      </c>
      <c r="G1" s="247" t="s">
        <v>1429</v>
      </c>
      <c r="H1" s="247" t="s">
        <v>1429</v>
      </c>
      <c r="I1" s="585" t="s">
        <v>282</v>
      </c>
      <c r="J1" s="585" t="s">
        <v>521</v>
      </c>
      <c r="K1" s="585" t="s">
        <v>522</v>
      </c>
      <c r="L1" s="585" t="s">
        <v>523</v>
      </c>
      <c r="M1" s="585" t="s">
        <v>524</v>
      </c>
      <c r="N1" s="585" t="s">
        <v>525</v>
      </c>
      <c r="O1" s="585" t="s">
        <v>526</v>
      </c>
      <c r="P1" s="585" t="s">
        <v>527</v>
      </c>
      <c r="Q1" s="585" t="s">
        <v>528</v>
      </c>
      <c r="R1" s="585" t="s">
        <v>540</v>
      </c>
      <c r="S1" s="585" t="s">
        <v>541</v>
      </c>
      <c r="T1" s="585" t="s">
        <v>529</v>
      </c>
      <c r="U1" s="585" t="s">
        <v>530</v>
      </c>
      <c r="V1" s="586" t="s">
        <v>281</v>
      </c>
      <c r="W1" s="586" t="s">
        <v>280</v>
      </c>
      <c r="Z1" s="1062">
        <f>(Z2*AA2+Z2)-AA1</f>
        <v>39275.999999999985</v>
      </c>
      <c r="AA1" s="247">
        <v>2</v>
      </c>
    </row>
    <row r="2" spans="1:27" x14ac:dyDescent="0.35">
      <c r="A2" s="247" t="s">
        <v>1520</v>
      </c>
      <c r="I2" s="601">
        <f>SUM(I3:I5)</f>
        <v>140202718.18882191</v>
      </c>
      <c r="J2" s="602"/>
      <c r="K2" s="602"/>
      <c r="L2" s="602"/>
      <c r="M2" s="602"/>
      <c r="N2" s="602"/>
      <c r="O2" s="602"/>
      <c r="P2" s="602"/>
      <c r="Q2" s="602"/>
      <c r="R2" s="602"/>
      <c r="S2" s="602"/>
      <c r="T2" s="602"/>
      <c r="U2" s="602"/>
      <c r="V2" s="603"/>
      <c r="W2" s="603"/>
      <c r="Z2" s="245">
        <v>28448</v>
      </c>
      <c r="AA2" s="1063">
        <v>0.38069460067491501</v>
      </c>
    </row>
    <row r="3" spans="1:27" x14ac:dyDescent="0.35">
      <c r="A3" s="312" t="s">
        <v>309</v>
      </c>
      <c r="B3" s="312" t="s">
        <v>307</v>
      </c>
      <c r="C3" s="312" t="s">
        <v>824</v>
      </c>
      <c r="D3" s="312" t="s">
        <v>825</v>
      </c>
      <c r="E3" s="245" t="s">
        <v>824</v>
      </c>
      <c r="F3" s="245" t="s">
        <v>825</v>
      </c>
      <c r="I3" s="723">
        <f>SUM(J3:U3)</f>
        <v>43041681.768690385</v>
      </c>
      <c r="J3" s="638">
        <f>$Z$1*'Annexure A'!$M$6*50</f>
        <v>4267827.6330755325</v>
      </c>
      <c r="K3" s="638">
        <f>$Z$1*'Annexure A'!$M$6*50</f>
        <v>4267827.6330755325</v>
      </c>
      <c r="L3" s="638">
        <f>$Z$1*'Annexure A'!$L$6*50</f>
        <v>3359799.8743848652</v>
      </c>
      <c r="M3" s="638">
        <f>$Z$1*'Annexure A'!$L$6*50</f>
        <v>3359799.8743848652</v>
      </c>
      <c r="N3" s="638">
        <f>$Z$1*'Annexure A'!$L$6*50</f>
        <v>3359799.8743848652</v>
      </c>
      <c r="O3" s="638">
        <f>$Z$1*'Annexure A'!$L$6*50</f>
        <v>3359799.8743848652</v>
      </c>
      <c r="P3" s="638">
        <f>$Z$1*'Annexure A'!$L$6*50</f>
        <v>3359799.8743848652</v>
      </c>
      <c r="Q3" s="638">
        <f>$Z$1*'Annexure A'!$L$6*50</f>
        <v>3359799.8743848652</v>
      </c>
      <c r="R3" s="638">
        <f>$Z$1*'Annexure A'!$L$6*50</f>
        <v>3359799.8743848652</v>
      </c>
      <c r="S3" s="638">
        <f>$Z$1*'Annexure A'!$L$6*50</f>
        <v>3359799.8743848652</v>
      </c>
      <c r="T3" s="638">
        <f>$Z$1*'Annexure A'!$L$6*50</f>
        <v>3359799.8743848652</v>
      </c>
      <c r="U3" s="638">
        <f>$Z$1*'Annexure A'!$M$6*50</f>
        <v>4267827.6330755325</v>
      </c>
      <c r="V3" s="628">
        <f>SUM(L3:T3)</f>
        <v>30238198.869463786</v>
      </c>
      <c r="W3" s="628">
        <f>U3+J3+K3</f>
        <v>12803482.899226598</v>
      </c>
      <c r="Z3" s="270"/>
      <c r="AA3" s="270"/>
    </row>
    <row r="4" spans="1:27" x14ac:dyDescent="0.35">
      <c r="A4" s="312" t="s">
        <v>309</v>
      </c>
      <c r="B4" s="312" t="s">
        <v>307</v>
      </c>
      <c r="C4" s="312" t="s">
        <v>824</v>
      </c>
      <c r="D4" s="312" t="s">
        <v>825</v>
      </c>
      <c r="E4" s="245" t="s">
        <v>824</v>
      </c>
      <c r="F4" s="245" t="s">
        <v>825</v>
      </c>
      <c r="I4" s="604">
        <f>SUM(J4:U4)</f>
        <v>61098075.047706999</v>
      </c>
      <c r="J4" s="603">
        <f>TariffRandValues20232024!J4*'Tariff SUMMARY 26-27'!$F$3+TariffRandValues20232024!J4</f>
        <v>6304593.1844471125</v>
      </c>
      <c r="K4" s="603">
        <f>TariffRandValues20232024!K4*'Tariff SUMMARY 26-27'!$F$3+TariffRandValues20232024!K4</f>
        <v>3640151.3884117482</v>
      </c>
      <c r="L4" s="603">
        <f>TariffRandValues20232024!L4*'Tariff SUMMARY 26-27'!$F$3+TariffRandValues20232024!L4</f>
        <v>3798448.7094004154</v>
      </c>
      <c r="M4" s="603">
        <f>TariffRandValues20232024!M4*'Tariff SUMMARY 26-27'!$F$3+TariffRandValues20232024!M4</f>
        <v>3723148.6546810679</v>
      </c>
      <c r="N4" s="603">
        <f>TariffRandValues20232024!N4*'Tariff SUMMARY 26-27'!$F$3+TariffRandValues20232024!N4</f>
        <v>3138095.5908840606</v>
      </c>
      <c r="O4" s="603">
        <f>TariffRandValues20232024!O4*'Tariff SUMMARY 26-27'!$F$3+TariffRandValues20232024!O4</f>
        <v>5606218.3385502677</v>
      </c>
      <c r="P4" s="603">
        <f>TariffRandValues20232024!P4*'Tariff SUMMARY 26-27'!$F$3+TariffRandValues20232024!P4</f>
        <v>5205306.9225726519</v>
      </c>
      <c r="Q4" s="603">
        <f>TariffRandValues20232024!Q4*'Tariff SUMMARY 26-27'!$F$3+TariffRandValues20232024!Q4</f>
        <v>5110834.1648812434</v>
      </c>
      <c r="R4" s="603">
        <f>TariffRandValues20232024!R4*'Tariff SUMMARY 26-27'!$F$3+TariffRandValues20232024!R4</f>
        <v>5716816.7392407646</v>
      </c>
      <c r="S4" s="603">
        <f>TariffRandValues20232024!S4*'Tariff SUMMARY 26-27'!$F$3+TariffRandValues20232024!S4</f>
        <v>5603081.7251621764</v>
      </c>
      <c r="T4" s="603">
        <f>TariffRandValues20232024!T4*'Tariff SUMMARY 26-27'!$F$3+TariffRandValues20232024!T4</f>
        <v>5883579.6158224009</v>
      </c>
      <c r="U4" s="603">
        <f>TariffRandValues20232024!U4*'Tariff SUMMARY 26-27'!$F$3+TariffRandValues20232024!U4</f>
        <v>7367800.0136530902</v>
      </c>
      <c r="V4" s="605">
        <f>SUM(L4:T4)</f>
        <v>43785530.461195052</v>
      </c>
      <c r="W4" s="605">
        <f>U4+J4+K4</f>
        <v>17312544.586511951</v>
      </c>
      <c r="X4" s="245">
        <f>+W4+V4+V5+W5+V8+V9+W8+W9</f>
        <v>97233383.997411683</v>
      </c>
    </row>
    <row r="5" spans="1:27" x14ac:dyDescent="0.35">
      <c r="A5" s="312" t="s">
        <v>309</v>
      </c>
      <c r="B5" s="312" t="s">
        <v>307</v>
      </c>
      <c r="C5" s="312" t="s">
        <v>824</v>
      </c>
      <c r="D5" s="312" t="s">
        <v>825</v>
      </c>
      <c r="I5" s="604">
        <f>SUM(J5:U5)</f>
        <v>36062961.372424535</v>
      </c>
      <c r="J5" s="603">
        <f>TariffRandValues20232024!J5*'Tariff SUMMARY 26-27'!$F$3+TariffRandValues20232024!J5</f>
        <v>5659637.6251184363</v>
      </c>
      <c r="K5" s="603">
        <f>TariffRandValues20232024!K5*'Tariff SUMMARY 26-27'!$F$3+TariffRandValues20232024!K5</f>
        <v>647070.91147963214</v>
      </c>
      <c r="L5" s="603">
        <f>TariffRandValues20232024!L5*'Tariff SUMMARY 26-27'!$F$3+TariffRandValues20232024!L5</f>
        <v>2069434.9424253835</v>
      </c>
      <c r="M5" s="603">
        <f>TariffRandValues20232024!M5*'Tariff SUMMARY 26-27'!$F$3+TariffRandValues20232024!M5</f>
        <v>2289375.9023660724</v>
      </c>
      <c r="N5" s="603">
        <f>TariffRandValues20232024!N5*'Tariff SUMMARY 26-27'!$F$3+TariffRandValues20232024!N5</f>
        <v>2278671.6885156161</v>
      </c>
      <c r="O5" s="603">
        <f>TariffRandValues20232024!O5*'Tariff SUMMARY 26-27'!$F$3+TariffRandValues20232024!O5</f>
        <v>3278505.5375185129</v>
      </c>
      <c r="P5" s="603">
        <f>TariffRandValues20232024!P5*'Tariff SUMMARY 26-27'!$F$3+TariffRandValues20232024!P5</f>
        <v>3044040.105364291</v>
      </c>
      <c r="Q5" s="603">
        <f>TariffRandValues20232024!Q5*'Tariff SUMMARY 26-27'!$F$3+TariffRandValues20232024!Q5</f>
        <v>2989160.6808962426</v>
      </c>
      <c r="R5" s="603">
        <f>TariffRandValues20232024!R5*'Tariff SUMMARY 26-27'!$F$3+TariffRandValues20232024!R5</f>
        <v>3343465.2853086945</v>
      </c>
      <c r="S5" s="603">
        <f>TariffRandValues20232024!S5*'Tariff SUMMARY 26-27'!$F$3+TariffRandValues20232024!S5</f>
        <v>3276856.6366459429</v>
      </c>
      <c r="T5" s="603">
        <f>TariffRandValues20232024!T5*'Tariff SUMMARY 26-27'!$F$3+TariffRandValues20232024!T5</f>
        <v>3440807.7918511122</v>
      </c>
      <c r="U5" s="603">
        <f>TariffRandValues20232024!U5*'Tariff SUMMARY 26-27'!$F$3+TariffRandValues20232024!U5</f>
        <v>3745934.2649346003</v>
      </c>
      <c r="V5" s="605">
        <f>SUM(L5:T5)</f>
        <v>26010318.570891865</v>
      </c>
      <c r="W5" s="605">
        <f>U5+J5+K5</f>
        <v>10052642.801532669</v>
      </c>
    </row>
    <row r="6" spans="1:27" x14ac:dyDescent="0.35">
      <c r="A6" s="247" t="s">
        <v>1521</v>
      </c>
      <c r="I6" s="825">
        <f>SUM(I7:I9)</f>
        <v>74539.332131386502</v>
      </c>
      <c r="J6" s="602"/>
      <c r="K6" s="602"/>
      <c r="L6" s="602"/>
      <c r="M6" s="602"/>
      <c r="N6" s="602"/>
      <c r="O6" s="602"/>
      <c r="P6" s="602"/>
      <c r="Q6" s="602"/>
      <c r="R6" s="602"/>
      <c r="S6" s="602"/>
      <c r="T6" s="602"/>
      <c r="U6" s="602"/>
      <c r="V6" s="603">
        <f>V5+V4+V3</f>
        <v>100034047.9015507</v>
      </c>
      <c r="W6" s="603">
        <f>W5+W4+W3</f>
        <v>40168670.287271217</v>
      </c>
    </row>
    <row r="7" spans="1:27" x14ac:dyDescent="0.35">
      <c r="A7" s="312" t="s">
        <v>309</v>
      </c>
      <c r="B7" s="312" t="s">
        <v>307</v>
      </c>
      <c r="C7" s="312" t="s">
        <v>824</v>
      </c>
      <c r="D7" s="312" t="s">
        <v>825</v>
      </c>
      <c r="E7" s="245" t="s">
        <v>824</v>
      </c>
      <c r="F7" s="245" t="s">
        <v>825</v>
      </c>
      <c r="I7" s="604">
        <f>SUM(J7:U7)</f>
        <v>2191.7548512420003</v>
      </c>
      <c r="J7" s="638">
        <f>$AA$1*'Annexure A'!$M$6*50</f>
        <v>217.32496349299998</v>
      </c>
      <c r="K7" s="638">
        <f>$AA$1*'Annexure A'!$M$6*50</f>
        <v>217.32496349299998</v>
      </c>
      <c r="L7" s="638">
        <f>$AA$1*'Annexure A'!$L$6*50</f>
        <v>171.08666230700001</v>
      </c>
      <c r="M7" s="638">
        <f>$AA$1*'Annexure A'!$L$6*50</f>
        <v>171.08666230700001</v>
      </c>
      <c r="N7" s="638">
        <f>$AA$1*'Annexure A'!$L$6*50</f>
        <v>171.08666230700001</v>
      </c>
      <c r="O7" s="638">
        <f>$AA$1*'Annexure A'!$L$6*50</f>
        <v>171.08666230700001</v>
      </c>
      <c r="P7" s="638">
        <f>$AA$1*'Annexure A'!$L$6*50</f>
        <v>171.08666230700001</v>
      </c>
      <c r="Q7" s="638">
        <f>$AA$1*'Annexure A'!$L$6*50</f>
        <v>171.08666230700001</v>
      </c>
      <c r="R7" s="638">
        <f>$AA$1*'Annexure A'!$L$6*50</f>
        <v>171.08666230700001</v>
      </c>
      <c r="S7" s="638">
        <f>$AA$1*'Annexure A'!$L$6*50</f>
        <v>171.08666230700001</v>
      </c>
      <c r="T7" s="638">
        <f>$AA$1*'Annexure A'!$L$6*50</f>
        <v>171.08666230700001</v>
      </c>
      <c r="U7" s="638">
        <f>$AA$1*'Annexure A'!$M$6*50</f>
        <v>217.32496349299998</v>
      </c>
      <c r="V7" s="628">
        <f>SUM(L7:T7)</f>
        <v>1539.7799607630004</v>
      </c>
      <c r="W7" s="628">
        <f>U7+J7+K7</f>
        <v>651.9748904789999</v>
      </c>
      <c r="X7" s="245">
        <f>+W7+V7</f>
        <v>2191.7548512420003</v>
      </c>
    </row>
    <row r="8" spans="1:27" x14ac:dyDescent="0.35">
      <c r="A8" s="312" t="s">
        <v>309</v>
      </c>
      <c r="B8" s="312" t="s">
        <v>307</v>
      </c>
      <c r="C8" s="312" t="s">
        <v>824</v>
      </c>
      <c r="D8" s="312" t="s">
        <v>825</v>
      </c>
      <c r="E8" s="245" t="s">
        <v>824</v>
      </c>
      <c r="F8" s="245" t="s">
        <v>825</v>
      </c>
      <c r="I8" s="604">
        <f>SUM(J8:U8)</f>
        <v>39260.024153137529</v>
      </c>
      <c r="J8" s="603">
        <f>TariffRandValues20232024!J8*'Tariff SUMMARY 26-27'!$F$3+TariffRandValues20232024!J8</f>
        <v>6267.3738191559123</v>
      </c>
      <c r="K8" s="603">
        <f>TariffRandValues20232024!K8*'Tariff SUMMARY 26-27'!$F$3+TariffRandValues20232024!K8</f>
        <v>6248.0683772487218</v>
      </c>
      <c r="L8" s="603">
        <f>TariffRandValues20232024!L8*'Tariff SUMMARY 26-27'!$F$3+TariffRandValues20232024!L8</f>
        <v>3218.0956091016119</v>
      </c>
      <c r="M8" s="603">
        <f>TariffRandValues20232024!M8*'Tariff SUMMARY 26-27'!$F$3+TariffRandValues20232024!M8</f>
        <v>2891.9825276818287</v>
      </c>
      <c r="N8" s="603">
        <f>TariffRandValues20232024!N8*'Tariff SUMMARY 26-27'!$F$3+TariffRandValues20232024!N8</f>
        <v>3197.8338977528092</v>
      </c>
      <c r="O8" s="603">
        <f>TariffRandValues20232024!O8*'Tariff SUMMARY 26-27'!$F$3+TariffRandValues20232024!O8</f>
        <v>2891.9825276818287</v>
      </c>
      <c r="P8" s="603">
        <f>TariffRandValues20232024!P8*'Tariff SUMMARY 26-27'!$F$3+TariffRandValues20232024!P8</f>
        <v>2938.7854063759646</v>
      </c>
      <c r="Q8" s="603">
        <f>TariffRandValues20232024!Q8*'Tariff SUMMARY 26-27'!$F$3+TariffRandValues20232024!Q8</f>
        <v>2873.4790640120541</v>
      </c>
      <c r="R8" s="603">
        <f>TariffRandValues20232024!R8*'Tariff SUMMARY 26-27'!$F$3+TariffRandValues20232024!R8</f>
        <v>2829.9415024361138</v>
      </c>
      <c r="S8" s="603">
        <f>TariffRandValues20232024!S8*'Tariff SUMMARY 26-27'!$F$3+TariffRandValues20232024!S8</f>
        <v>2786.4039408601739</v>
      </c>
      <c r="T8" s="603">
        <f>TariffRandValues20232024!T8*'Tariff SUMMARY 26-27'!$F$3+TariffRandValues20232024!T8</f>
        <v>2086.4539124469807</v>
      </c>
      <c r="U8" s="603">
        <f>TariffRandValues20232024!U8*'Tariff SUMMARY 26-27'!$F$3+TariffRandValues20232024!U8</f>
        <v>1029.6235683835164</v>
      </c>
      <c r="V8" s="605">
        <f>SUM(L8:T8)</f>
        <v>25714.958388349369</v>
      </c>
      <c r="W8" s="605">
        <f>U8+J8+K8</f>
        <v>13545.065764788151</v>
      </c>
      <c r="X8" s="245">
        <f>+V8+W8</f>
        <v>39260.024153137521</v>
      </c>
    </row>
    <row r="9" spans="1:27" x14ac:dyDescent="0.35">
      <c r="A9" s="312" t="s">
        <v>309</v>
      </c>
      <c r="B9" s="312" t="s">
        <v>307</v>
      </c>
      <c r="C9" s="312" t="s">
        <v>824</v>
      </c>
      <c r="D9" s="312" t="s">
        <v>825</v>
      </c>
      <c r="I9" s="604">
        <f>SUM(J9:U9)</f>
        <v>33087.553127006977</v>
      </c>
      <c r="J9" s="603">
        <f>TariffRandValues20232024!J9*'Tariff SUMMARY 26-27'!$F$3+TariffRandValues20232024!J9</f>
        <v>4960.4719357967551</v>
      </c>
      <c r="K9" s="603">
        <f>TariffRandValues20232024!K9*'Tariff SUMMARY 26-27'!$F$3+TariffRandValues20232024!K9</f>
        <v>4968.9780322856877</v>
      </c>
      <c r="L9" s="603">
        <f>TariffRandValues20232024!L9*'Tariff SUMMARY 26-27'!$F$3+TariffRandValues20232024!L9</f>
        <v>2943.1600940535468</v>
      </c>
      <c r="M9" s="603">
        <f>TariffRandValues20232024!M9*'Tariff SUMMARY 26-27'!$F$3+TariffRandValues20232024!M9</f>
        <v>2726.9932113691793</v>
      </c>
      <c r="N9" s="603">
        <f>TariffRandValues20232024!N9*'Tariff SUMMARY 26-27'!$F$3+TariffRandValues20232024!N9</f>
        <v>2346.7588638144352</v>
      </c>
      <c r="O9" s="603">
        <f>TariffRandValues20232024!O9*'Tariff SUMMARY 26-27'!$F$3+TariffRandValues20232024!O9</f>
        <v>2524.9937142307222</v>
      </c>
      <c r="P9" s="603">
        <f>TariffRandValues20232024!P9*'Tariff SUMMARY 26-27'!$F$3+TariffRandValues20232024!P9</f>
        <v>2227.9356302035781</v>
      </c>
      <c r="Q9" s="603">
        <f>TariffRandValues20232024!Q9*'Tariff SUMMARY 26-27'!$F$3+TariffRandValues20232024!Q9</f>
        <v>1871.4659293710054</v>
      </c>
      <c r="R9" s="603">
        <f>TariffRandValues20232024!R9*'Tariff SUMMARY 26-27'!$F$3+TariffRandValues20232024!R9</f>
        <v>2970.5808402714379</v>
      </c>
      <c r="S9" s="603">
        <f>TariffRandValues20232024!S9*'Tariff SUMMARY 26-27'!$F$3+TariffRandValues20232024!S9</f>
        <v>2970.5808402714379</v>
      </c>
      <c r="T9" s="603">
        <f>TariffRandValues20232024!T9*'Tariff SUMMARY 26-27'!$F$3+TariffRandValues20232024!T9</f>
        <v>1757.7401421724476</v>
      </c>
      <c r="U9" s="603">
        <f>TariffRandValues20232024!U9*'Tariff SUMMARY 26-27'!$F$3+TariffRandValues20232024!U9</f>
        <v>817.8938931667434</v>
      </c>
      <c r="V9" s="605">
        <f>SUM(L9:T9)</f>
        <v>22340.209265757789</v>
      </c>
      <c r="W9" s="605">
        <f>U9+J9+K9</f>
        <v>10747.343861249186</v>
      </c>
      <c r="X9" s="245">
        <f>+V9+W9</f>
        <v>33087.553127006977</v>
      </c>
    </row>
    <row r="10" spans="1:27" x14ac:dyDescent="0.35">
      <c r="A10" s="247" t="s">
        <v>1484</v>
      </c>
      <c r="I10" s="601">
        <f>SUM(I11:I12)</f>
        <v>1415310906.1982634</v>
      </c>
      <c r="J10" s="602"/>
      <c r="K10" s="602">
        <v>180282661.36173654</v>
      </c>
      <c r="L10" s="602"/>
      <c r="M10" s="602"/>
      <c r="N10" s="602"/>
      <c r="O10" s="602"/>
      <c r="P10" s="602"/>
      <c r="Q10" s="602"/>
      <c r="R10" s="602"/>
      <c r="S10" s="602"/>
      <c r="T10" s="602"/>
      <c r="U10" s="602"/>
      <c r="V10" s="838">
        <f>V9+V8+V7</f>
        <v>49594.947614870158</v>
      </c>
      <c r="W10" s="838">
        <f>W9+W8+W7</f>
        <v>24944.384516516337</v>
      </c>
      <c r="X10" s="245">
        <f>+X9+X8</f>
        <v>72347.577280144498</v>
      </c>
    </row>
    <row r="11" spans="1:27" x14ac:dyDescent="0.35">
      <c r="A11" s="312" t="s">
        <v>305</v>
      </c>
      <c r="B11" s="312" t="s">
        <v>252</v>
      </c>
      <c r="C11" s="312" t="s">
        <v>1042</v>
      </c>
      <c r="D11" s="312" t="s">
        <v>1045</v>
      </c>
      <c r="E11" s="245" t="s">
        <v>1042</v>
      </c>
      <c r="F11" s="245" t="s">
        <v>1045</v>
      </c>
      <c r="I11" s="604">
        <f>SUM(J11:U11)</f>
        <v>1067817845.078546</v>
      </c>
      <c r="J11" s="603">
        <f>TariffRandValues20232024!J11*'Tariff SUMMARY 26-27'!$F$3+TariffRandValues20232024!J11</f>
        <v>111552455.47671607</v>
      </c>
      <c r="K11" s="603">
        <f>TariffRandValues20232024!K11*'Tariff SUMMARY 26-27'!$F$3+TariffRandValues20232024!K11</f>
        <v>109231325.39758596</v>
      </c>
      <c r="L11" s="603">
        <f>TariffRandValues20232024!L11*'Tariff SUMMARY 26-27'!$F$3+TariffRandValues20232024!L11</f>
        <v>101860435.84316929</v>
      </c>
      <c r="M11" s="603">
        <f>TariffRandValues20232024!M11*'Tariff SUMMARY 26-27'!$F$3+TariffRandValues20232024!M11</f>
        <v>102468053.7709851</v>
      </c>
      <c r="N11" s="603">
        <f>TariffRandValues20232024!N11*'Tariff SUMMARY 26-27'!$F$3+TariffRandValues20232024!N11</f>
        <v>102791577.71533431</v>
      </c>
      <c r="O11" s="603">
        <f>TariffRandValues20232024!O11*'Tariff SUMMARY 26-27'!$F$3+TariffRandValues20232024!O11</f>
        <v>100428855.56374562</v>
      </c>
      <c r="P11" s="603">
        <f>TariffRandValues20232024!P11*'Tariff SUMMARY 26-27'!$F$3+TariffRandValues20232024!P11</f>
        <v>95971039.799929678</v>
      </c>
      <c r="Q11" s="603">
        <f>TariffRandValues20232024!Q11*'Tariff SUMMARY 26-27'!$F$3+TariffRandValues20232024!Q11</f>
        <v>46176453.484457001</v>
      </c>
      <c r="R11" s="603">
        <f>TariffRandValues20232024!R11*'Tariff SUMMARY 26-27'!$F$3+TariffRandValues20232024!R11</f>
        <v>46325524.186948717</v>
      </c>
      <c r="S11" s="603">
        <f>TariffRandValues20232024!S11*'Tariff SUMMARY 26-27'!$F$3+TariffRandValues20232024!S11</f>
        <v>45098091.973235086</v>
      </c>
      <c r="T11" s="603">
        <f>TariffRandValues20232024!T11*'Tariff SUMMARY 26-27'!$F$3+TariffRandValues20232024!T11</f>
        <v>103976271.36123163</v>
      </c>
      <c r="U11" s="603">
        <f>TariffRandValues20232024!U11*'Tariff SUMMARY 26-27'!$F$3+TariffRandValues20232024!U11</f>
        <v>101937760.50520758</v>
      </c>
      <c r="V11" s="605">
        <f>SUM(L11:T11)</f>
        <v>745096303.69903636</v>
      </c>
      <c r="W11" s="605">
        <f>U11+J11+K11</f>
        <v>322721541.37950957</v>
      </c>
    </row>
    <row r="12" spans="1:27" x14ac:dyDescent="0.35">
      <c r="A12" s="312" t="s">
        <v>305</v>
      </c>
      <c r="B12" s="312" t="s">
        <v>252</v>
      </c>
      <c r="C12" s="312" t="s">
        <v>1042</v>
      </c>
      <c r="D12" s="312" t="s">
        <v>1045</v>
      </c>
      <c r="E12" s="245" t="s">
        <v>1042</v>
      </c>
      <c r="F12" s="245" t="s">
        <v>1045</v>
      </c>
      <c r="I12" s="604">
        <f>SUM(J12:U12)</f>
        <v>347493061.1197173</v>
      </c>
      <c r="J12" s="603">
        <f>TariffRandValues20232024!J12*'Tariff SUMMARY 26-27'!$F$3+TariffRandValues20232024!J12</f>
        <v>32009905.288348194</v>
      </c>
      <c r="K12" s="603">
        <f>TariffRandValues20232024!K12*'Tariff SUMMARY 26-27'!$F$3+TariffRandValues20232024!K12</f>
        <v>31535505.591008633</v>
      </c>
      <c r="L12" s="603">
        <f>TariffRandValues20232024!L12*'Tariff SUMMARY 26-27'!$F$3+TariffRandValues20232024!L12</f>
        <v>24695384.967900593</v>
      </c>
      <c r="M12" s="603">
        <f>TariffRandValues20232024!M12*'Tariff SUMMARY 26-27'!$F$3+TariffRandValues20232024!M12</f>
        <v>23772439.84395526</v>
      </c>
      <c r="N12" s="603">
        <f>TariffRandValues20232024!N12*'Tariff SUMMARY 26-27'!$F$3+TariffRandValues20232024!N12</f>
        <v>23811567.547735564</v>
      </c>
      <c r="O12" s="603">
        <f>TariffRandValues20232024!O12*'Tariff SUMMARY 26-27'!$F$3+TariffRandValues20232024!O12</f>
        <v>23549382.222713735</v>
      </c>
      <c r="P12" s="603">
        <f>TariffRandValues20232024!P12*'Tariff SUMMARY 26-27'!$F$3+TariffRandValues20232024!P12</f>
        <v>22295616.253755271</v>
      </c>
      <c r="Q12" s="603">
        <f>TariffRandValues20232024!Q12*'Tariff SUMMARY 26-27'!$F$3+TariffRandValues20232024!Q12</f>
        <v>21040068.08982005</v>
      </c>
      <c r="R12" s="603">
        <f>TariffRandValues20232024!R12*'Tariff SUMMARY 26-27'!$F$3+TariffRandValues20232024!R12</f>
        <v>23672174.704605799</v>
      </c>
      <c r="S12" s="603">
        <f>TariffRandValues20232024!S12*'Tariff SUMMARY 26-27'!$F$3+TariffRandValues20232024!S12</f>
        <v>25390374.753528804</v>
      </c>
      <c r="T12" s="603">
        <f>TariffRandValues20232024!T12*'Tariff SUMMARY 26-27'!$F$3+TariffRandValues20232024!T12</f>
        <v>29308007.925125919</v>
      </c>
      <c r="U12" s="603">
        <f>TariffRandValues20232024!U12*'Tariff SUMMARY 26-27'!$F$3+TariffRandValues20232024!U12</f>
        <v>66412633.931219481</v>
      </c>
      <c r="V12" s="605">
        <f>SUM(L12:T12)</f>
        <v>217535016.30914101</v>
      </c>
      <c r="W12" s="605">
        <f>U12+J12+K12</f>
        <v>129958044.8105763</v>
      </c>
    </row>
    <row r="13" spans="1:27" x14ac:dyDescent="0.35">
      <c r="A13" s="247" t="s">
        <v>1483</v>
      </c>
      <c r="I13" s="601">
        <f>SUM(I14:I15)</f>
        <v>20001954.978270285</v>
      </c>
      <c r="J13" s="603"/>
      <c r="K13" s="603"/>
      <c r="L13" s="603"/>
      <c r="M13" s="638"/>
      <c r="N13" s="638"/>
      <c r="O13" s="638"/>
      <c r="P13" s="603"/>
      <c r="Q13" s="603"/>
      <c r="R13" s="603"/>
      <c r="S13" s="603"/>
      <c r="T13" s="603"/>
      <c r="U13" s="603"/>
      <c r="V13" s="603">
        <f>+V12+V11</f>
        <v>962631320.0081774</v>
      </c>
      <c r="W13" s="603">
        <f>+W12+W11</f>
        <v>452679586.19008589</v>
      </c>
    </row>
    <row r="14" spans="1:27" x14ac:dyDescent="0.35">
      <c r="A14" s="312" t="s">
        <v>305</v>
      </c>
      <c r="B14" s="312" t="s">
        <v>252</v>
      </c>
      <c r="C14" s="312" t="s">
        <v>1042</v>
      </c>
      <c r="D14" s="312" t="s">
        <v>1045</v>
      </c>
      <c r="I14" s="604">
        <f>SUM(J14:U14)</f>
        <v>4970604.9278248698</v>
      </c>
      <c r="J14" s="603">
        <f>TariffRandValues20232024!J14*'Tariff SUMMARY 26-27'!$F$3+TariffRandValues20232024!J14</f>
        <v>537417.49779987498</v>
      </c>
      <c r="K14" s="603">
        <f>TariffRandValues20232024!K14*'Tariff SUMMARY 26-27'!$F$3+TariffRandValues20232024!K14</f>
        <v>537417.49779987498</v>
      </c>
      <c r="L14" s="603">
        <f>TariffRandValues20232024!L14*'Tariff SUMMARY 26-27'!$F$3+TariffRandValues20232024!L14</f>
        <v>397558.24902379152</v>
      </c>
      <c r="M14" s="603">
        <f>TariffRandValues20232024!M14*'Tariff SUMMARY 26-27'!$F$3+TariffRandValues20232024!M14</f>
        <v>397558.24902379152</v>
      </c>
      <c r="N14" s="603">
        <f>TariffRandValues20232024!N14*'Tariff SUMMARY 26-27'!$F$3+TariffRandValues20232024!N14</f>
        <v>397558.24902379152</v>
      </c>
      <c r="O14" s="603">
        <f>TariffRandValues20232024!O14*'Tariff SUMMARY 26-27'!$F$3+TariffRandValues20232024!O14</f>
        <v>381859.57750417537</v>
      </c>
      <c r="P14" s="603">
        <f>TariffRandValues20232024!P14*'Tariff SUMMARY 26-27'!$F$3+TariffRandValues20232024!P14</f>
        <v>381859.57750417537</v>
      </c>
      <c r="Q14" s="603">
        <f>TariffRandValues20232024!Q14*'Tariff SUMMARY 26-27'!$F$3+TariffRandValues20232024!Q14</f>
        <v>377616.69330968452</v>
      </c>
      <c r="R14" s="603">
        <f>TariffRandValues20232024!R14*'Tariff SUMMARY 26-27'!$F$3+TariffRandValues20232024!R14</f>
        <v>377616.69330968452</v>
      </c>
      <c r="S14" s="603">
        <f>TariffRandValues20232024!S14*'Tariff SUMMARY 26-27'!$F$3+TariffRandValues20232024!S14</f>
        <v>377616.69330968452</v>
      </c>
      <c r="T14" s="603">
        <f>TariffRandValues20232024!T14*'Tariff SUMMARY 26-27'!$F$3+TariffRandValues20232024!T14</f>
        <v>360645.15653172112</v>
      </c>
      <c r="U14" s="603">
        <f>TariffRandValues20232024!U14*'Tariff SUMMARY 26-27'!$F$3+TariffRandValues20232024!U14</f>
        <v>445880.79368462047</v>
      </c>
      <c r="V14" s="605">
        <f>SUM(L14:T14)</f>
        <v>3449889.1385404998</v>
      </c>
      <c r="W14" s="605">
        <f>U14+J14+K14</f>
        <v>1520715.7892843704</v>
      </c>
    </row>
    <row r="15" spans="1:27" x14ac:dyDescent="0.35">
      <c r="A15" s="312" t="s">
        <v>305</v>
      </c>
      <c r="B15" s="312" t="s">
        <v>252</v>
      </c>
      <c r="C15" s="312" t="s">
        <v>1042</v>
      </c>
      <c r="D15" s="312" t="s">
        <v>1045</v>
      </c>
      <c r="I15" s="604">
        <f>SUM(J15:U15)</f>
        <v>15031350.050445413</v>
      </c>
      <c r="J15" s="603">
        <f>TariffRandValues20232024!J15*'Tariff SUMMARY 26-27'!$F$3+TariffRandValues20232024!J15</f>
        <v>1695361.1722513249</v>
      </c>
      <c r="K15" s="603">
        <f>TariffRandValues20232024!K15*'Tariff SUMMARY 26-27'!$F$3+TariffRandValues20232024!K15</f>
        <v>928349.96937674202</v>
      </c>
      <c r="L15" s="603">
        <f>TariffRandValues20232024!L15*'Tariff SUMMARY 26-27'!$F$3+TariffRandValues20232024!L15</f>
        <v>1761230.1447293963</v>
      </c>
      <c r="M15" s="603">
        <f>TariffRandValues20232024!M15*'Tariff SUMMARY 26-27'!$F$3+TariffRandValues20232024!M15</f>
        <v>1747250.4624190349</v>
      </c>
      <c r="N15" s="603">
        <f>TariffRandValues20232024!N15*'Tariff SUMMARY 26-27'!$F$3+TariffRandValues20232024!N15</f>
        <v>1371805.5047611205</v>
      </c>
      <c r="O15" s="603">
        <f>TariffRandValues20232024!O15*'Tariff SUMMARY 26-27'!$F$3+TariffRandValues20232024!O15</f>
        <v>1464559.2739282784</v>
      </c>
      <c r="P15" s="603">
        <f>TariffRandValues20232024!P15*'Tariff SUMMARY 26-27'!$F$3+TariffRandValues20232024!P15</f>
        <v>1665810.36854122</v>
      </c>
      <c r="Q15" s="603">
        <f>TariffRandValues20232024!Q15*'Tariff SUMMARY 26-27'!$F$3+TariffRandValues20232024!Q15</f>
        <v>720561.9983147023</v>
      </c>
      <c r="R15" s="603">
        <f>TariffRandValues20232024!R15*'Tariff SUMMARY 26-27'!$F$3+TariffRandValues20232024!R15</f>
        <v>911318.41510712611</v>
      </c>
      <c r="S15" s="603">
        <f>TariffRandValues20232024!S15*'Tariff SUMMARY 26-27'!$F$3+TariffRandValues20232024!S15</f>
        <v>897043.44751902902</v>
      </c>
      <c r="T15" s="603">
        <f>TariffRandValues20232024!T15*'Tariff SUMMARY 26-27'!$F$3+TariffRandValues20232024!T15</f>
        <v>614597.29906252166</v>
      </c>
      <c r="U15" s="603">
        <f>TariffRandValues20232024!U15*'Tariff SUMMARY 26-27'!$F$3+TariffRandValues20232024!U15</f>
        <v>1253461.9944349176</v>
      </c>
      <c r="V15" s="605">
        <f>SUM(L15:T15)</f>
        <v>11154176.914382428</v>
      </c>
      <c r="W15" s="605">
        <f>U15+J15+K15</f>
        <v>3877173.1360629844</v>
      </c>
    </row>
    <row r="16" spans="1:27" x14ac:dyDescent="0.35">
      <c r="A16" s="247" t="s">
        <v>537</v>
      </c>
      <c r="I16" s="601">
        <f>SUM(I17:I20)</f>
        <v>402506.30258106359</v>
      </c>
      <c r="J16" s="602"/>
      <c r="K16" s="602"/>
      <c r="L16" s="602"/>
      <c r="M16" s="602"/>
      <c r="N16" s="602"/>
      <c r="O16" s="602"/>
      <c r="P16" s="602"/>
      <c r="Q16" s="602"/>
      <c r="R16" s="602"/>
      <c r="S16" s="602"/>
      <c r="T16" s="602"/>
      <c r="U16" s="602"/>
      <c r="V16" s="603">
        <f>+V15+V14</f>
        <v>14604066.052922927</v>
      </c>
      <c r="W16" s="603">
        <f>+W15+W14</f>
        <v>5397888.9253473543</v>
      </c>
    </row>
    <row r="17" spans="1:26" x14ac:dyDescent="0.35">
      <c r="A17" s="311" t="s">
        <v>371</v>
      </c>
      <c r="B17" s="311" t="s">
        <v>371</v>
      </c>
      <c r="C17" s="311" t="s">
        <v>838</v>
      </c>
      <c r="D17" s="311" t="s">
        <v>838</v>
      </c>
      <c r="E17" s="245" t="s">
        <v>839</v>
      </c>
      <c r="F17" s="245" t="s">
        <v>839</v>
      </c>
      <c r="I17" s="604">
        <f>SUM(J17:U17)</f>
        <v>102539.61125749383</v>
      </c>
      <c r="J17" s="638">
        <v>8544.9676047911544</v>
      </c>
      <c r="K17" s="638">
        <v>8544.9676047911544</v>
      </c>
      <c r="L17" s="638">
        <v>8544.9676047911544</v>
      </c>
      <c r="M17" s="638">
        <v>8544.9676047911544</v>
      </c>
      <c r="N17" s="638">
        <v>8544.9676047911544</v>
      </c>
      <c r="O17" s="638">
        <v>8544.9676047911544</v>
      </c>
      <c r="P17" s="638">
        <v>8544.9676047911544</v>
      </c>
      <c r="Q17" s="638">
        <v>8544.9676047911544</v>
      </c>
      <c r="R17" s="638">
        <v>8544.9676047911544</v>
      </c>
      <c r="S17" s="638">
        <v>8544.9676047911544</v>
      </c>
      <c r="T17" s="638">
        <v>8544.9676047911544</v>
      </c>
      <c r="U17" s="638">
        <v>8544.9676047911544</v>
      </c>
      <c r="V17" s="605">
        <f>SUM(L17:T17)</f>
        <v>76904.708443120384</v>
      </c>
      <c r="W17" s="605">
        <f>U17+J17+K17</f>
        <v>25634.902814373461</v>
      </c>
      <c r="X17" s="245">
        <f>+V21+W21</f>
        <v>402506.30258106359</v>
      </c>
    </row>
    <row r="18" spans="1:26" x14ac:dyDescent="0.35">
      <c r="A18" s="311" t="s">
        <v>381</v>
      </c>
      <c r="B18" s="311" t="s">
        <v>375</v>
      </c>
      <c r="C18" s="311" t="s">
        <v>834</v>
      </c>
      <c r="D18" s="311" t="s">
        <v>836</v>
      </c>
      <c r="E18" s="245" t="s">
        <v>827</v>
      </c>
      <c r="F18" s="245" t="s">
        <v>830</v>
      </c>
      <c r="I18" s="604">
        <f>SUM(J18:U18)</f>
        <v>77089.553676456329</v>
      </c>
      <c r="J18" s="603">
        <f>TariffRandValues20232024!J18*'Tariff SUMMARY 26-27'!$F$3+TariffRandValues20232024!J18</f>
        <v>8563.4240999048852</v>
      </c>
      <c r="K18" s="603">
        <f>TariffRandValues20232024!K18*'Tariff SUMMARY 26-27'!$F$3+TariffRandValues20232024!K18</f>
        <v>4206.708480203004</v>
      </c>
      <c r="L18" s="603">
        <f>TariffRandValues20232024!L18*'Tariff SUMMARY 26-27'!$F$3+TariffRandValues20232024!L18</f>
        <v>1864.7980344171249</v>
      </c>
      <c r="M18" s="603">
        <f>TariffRandValues20232024!M18*'Tariff SUMMARY 26-27'!$F$3+TariffRandValues20232024!M18</f>
        <v>1641.9647674885805</v>
      </c>
      <c r="N18" s="603">
        <f>TariffRandValues20232024!N18*'Tariff SUMMARY 26-27'!$F$3+TariffRandValues20232024!N18</f>
        <v>1804.8821408925312</v>
      </c>
      <c r="O18" s="603">
        <f>TariffRandValues20232024!O18*'Tariff SUMMARY 26-27'!$F$3+TariffRandValues20232024!O18</f>
        <v>1313.9420807486006</v>
      </c>
      <c r="P18" s="603">
        <f>TariffRandValues20232024!P18*'Tariff SUMMARY 26-27'!$F$3+TariffRandValues20232024!P18</f>
        <v>1454.6434486883768</v>
      </c>
      <c r="Q18" s="603">
        <f>TariffRandValues20232024!Q18*'Tariff SUMMARY 26-27'!$F$3+TariffRandValues20232024!Q18</f>
        <v>5542.781161263897</v>
      </c>
      <c r="R18" s="603">
        <f>TariffRandValues20232024!R18*'Tariff SUMMARY 26-27'!$F$3+TariffRandValues20232024!R18</f>
        <v>6186.0355012947857</v>
      </c>
      <c r="S18" s="603">
        <f>TariffRandValues20232024!S18*'Tariff SUMMARY 26-27'!$F$3+TariffRandValues20232024!S18</f>
        <v>6213.749407101106</v>
      </c>
      <c r="T18" s="603">
        <f>TariffRandValues20232024!T18*'Tariff SUMMARY 26-27'!$F$3+TariffRandValues20232024!T18</f>
        <v>7201.2396297789101</v>
      </c>
      <c r="U18" s="603">
        <f>TariffRandValues20232024!U18*'Tariff SUMMARY 26-27'!$F$3+TariffRandValues20232024!U18</f>
        <v>31095.384924674527</v>
      </c>
      <c r="V18" s="605">
        <f>SUM(L18:T18)</f>
        <v>33224.036171673913</v>
      </c>
      <c r="W18" s="605">
        <f>U18+J18+K18</f>
        <v>43865.517504782416</v>
      </c>
    </row>
    <row r="19" spans="1:26" x14ac:dyDescent="0.35">
      <c r="A19" s="311" t="s">
        <v>383</v>
      </c>
      <c r="B19" s="311" t="s">
        <v>377</v>
      </c>
      <c r="C19" s="311" t="s">
        <v>832</v>
      </c>
      <c r="D19" s="311" t="s">
        <v>835</v>
      </c>
      <c r="E19" s="245" t="s">
        <v>826</v>
      </c>
      <c r="F19" s="245" t="s">
        <v>829</v>
      </c>
      <c r="I19" s="604">
        <f>SUM(J19:U19)</f>
        <v>100640.86309341945</v>
      </c>
      <c r="J19" s="603">
        <f>TariffRandValues20232024!J19*'Tariff SUMMARY 26-27'!$F$3+TariffRandValues20232024!J19</f>
        <v>7982.9337143168077</v>
      </c>
      <c r="K19" s="603">
        <f>TariffRandValues20232024!K19*'Tariff SUMMARY 26-27'!$F$3+TariffRandValues20232024!K19</f>
        <v>4072.2195691944735</v>
      </c>
      <c r="L19" s="603">
        <f>TariffRandValues20232024!L19*'Tariff SUMMARY 26-27'!$F$3+TariffRandValues20232024!L19</f>
        <v>2896.9949441694935</v>
      </c>
      <c r="M19" s="603">
        <f>TariffRandValues20232024!M19*'Tariff SUMMARY 26-27'!$F$3+TariffRandValues20232024!M19</f>
        <v>2739.2065485175603</v>
      </c>
      <c r="N19" s="603">
        <f>TariffRandValues20232024!N19*'Tariff SUMMARY 26-27'!$F$3+TariffRandValues20232024!N19</f>
        <v>2903.6851721451353</v>
      </c>
      <c r="O19" s="603">
        <f>TariffRandValues20232024!O19*'Tariff SUMMARY 26-27'!$F$3+TariffRandValues20232024!O19</f>
        <v>2044.6851462160109</v>
      </c>
      <c r="P19" s="603">
        <f>TariffRandValues20232024!P19*'Tariff SUMMARY 26-27'!$F$3+TariffRandValues20232024!P19</f>
        <v>2198.0554667896899</v>
      </c>
      <c r="Q19" s="603">
        <f>TariffRandValues20232024!Q19*'Tariff SUMMARY 26-27'!$F$3+TariffRandValues20232024!Q19</f>
        <v>10119.495774477315</v>
      </c>
      <c r="R19" s="603">
        <f>TariffRandValues20232024!R19*'Tariff SUMMARY 26-27'!$F$3+TariffRandValues20232024!R19</f>
        <v>10830.595477548695</v>
      </c>
      <c r="S19" s="603">
        <f>TariffRandValues20232024!S19*'Tariff SUMMARY 26-27'!$F$3+TariffRandValues20232024!S19</f>
        <v>10197.716741815168</v>
      </c>
      <c r="T19" s="603">
        <f>TariffRandValues20232024!T19*'Tariff SUMMARY 26-27'!$F$3+TariffRandValues20232024!T19</f>
        <v>13358.828421853243</v>
      </c>
      <c r="U19" s="603">
        <f>TariffRandValues20232024!U19*'Tariff SUMMARY 26-27'!$F$3+TariffRandValues20232024!U19</f>
        <v>31296.446116375871</v>
      </c>
      <c r="V19" s="605">
        <f>SUM(L19:T19)</f>
        <v>57289.26369353231</v>
      </c>
      <c r="W19" s="605">
        <f>U19+J19+K19</f>
        <v>43351.599399887149</v>
      </c>
    </row>
    <row r="20" spans="1:26" x14ac:dyDescent="0.35">
      <c r="A20" s="311" t="s">
        <v>379</v>
      </c>
      <c r="B20" s="311" t="s">
        <v>373</v>
      </c>
      <c r="C20" s="311" t="s">
        <v>833</v>
      </c>
      <c r="D20" s="311" t="s">
        <v>837</v>
      </c>
      <c r="E20" s="245" t="s">
        <v>828</v>
      </c>
      <c r="F20" s="245" t="s">
        <v>831</v>
      </c>
      <c r="I20" s="604">
        <f>SUM(J20:U20)</f>
        <v>122236.27455369393</v>
      </c>
      <c r="J20" s="603">
        <f>TariffRandValues20232024!J20*'Tariff SUMMARY 26-27'!$F$3+TariffRandValues20232024!J20</f>
        <v>11101.133546441521</v>
      </c>
      <c r="K20" s="603">
        <f>TariffRandValues20232024!K20*'Tariff SUMMARY 26-27'!$F$3+TariffRandValues20232024!K20</f>
        <v>6907.4413137419997</v>
      </c>
      <c r="L20" s="603">
        <f>TariffRandValues20232024!L20*'Tariff SUMMARY 26-27'!$F$3+TariffRandValues20232024!L20</f>
        <v>3307.7225029559427</v>
      </c>
      <c r="M20" s="603">
        <f>TariffRandValues20232024!M20*'Tariff SUMMARY 26-27'!$F$3+TariffRandValues20232024!M20</f>
        <v>3257.2261756539001</v>
      </c>
      <c r="N20" s="603">
        <f>TariffRandValues20232024!N20*'Tariff SUMMARY 26-27'!$F$3+TariffRandValues20232024!N20</f>
        <v>3352.0399547653296</v>
      </c>
      <c r="O20" s="603">
        <f>TariffRandValues20232024!O20*'Tariff SUMMARY 26-27'!$F$3+TariffRandValues20232024!O20</f>
        <v>3094.8708954675863</v>
      </c>
      <c r="P20" s="603">
        <f>TariffRandValues20232024!P20*'Tariff SUMMARY 26-27'!$F$3+TariffRandValues20232024!P20</f>
        <v>3011.6691409889045</v>
      </c>
      <c r="Q20" s="603">
        <f>TariffRandValues20232024!Q20*'Tariff SUMMARY 26-27'!$F$3+TariffRandValues20232024!Q20</f>
        <v>12538.145741072545</v>
      </c>
      <c r="R20" s="603">
        <f>TariffRandValues20232024!R20*'Tariff SUMMARY 26-27'!$F$3+TariffRandValues20232024!R20</f>
        <v>12972.087456706129</v>
      </c>
      <c r="S20" s="603">
        <f>TariffRandValues20232024!S20*'Tariff SUMMARY 26-27'!$F$3+TariffRandValues20232024!S20</f>
        <v>12493.36664914014</v>
      </c>
      <c r="T20" s="603">
        <f>TariffRandValues20232024!T20*'Tariff SUMMARY 26-27'!$F$3+TariffRandValues20232024!T20</f>
        <v>14353.314704765373</v>
      </c>
      <c r="U20" s="603">
        <f>TariffRandValues20232024!U20*'Tariff SUMMARY 26-27'!$F$3+TariffRandValues20232024!U20</f>
        <v>35847.256471994566</v>
      </c>
      <c r="V20" s="605">
        <f>SUM(L20:T20)</f>
        <v>68380.443221515845</v>
      </c>
      <c r="W20" s="605">
        <f>U20+J20+K20</f>
        <v>53855.831332178081</v>
      </c>
    </row>
    <row r="21" spans="1:26" x14ac:dyDescent="0.35">
      <c r="A21" s="247" t="s">
        <v>536</v>
      </c>
      <c r="B21" s="247"/>
      <c r="C21" s="247"/>
      <c r="D21" s="247"/>
      <c r="E21" s="247"/>
      <c r="F21" s="247"/>
      <c r="G21" s="247"/>
      <c r="H21" s="247"/>
      <c r="I21" s="601">
        <f>SUM(I22:I25)</f>
        <v>33489543.227640923</v>
      </c>
      <c r="J21" s="607"/>
      <c r="K21" s="607"/>
      <c r="L21" s="607"/>
      <c r="M21" s="607"/>
      <c r="N21" s="607"/>
      <c r="O21" s="607"/>
      <c r="P21" s="607"/>
      <c r="Q21" s="607"/>
      <c r="R21" s="607"/>
      <c r="S21" s="607"/>
      <c r="T21" s="607"/>
      <c r="U21" s="607"/>
      <c r="V21" s="603">
        <f>+V20+V19+V18+V17</f>
        <v>235798.45152984245</v>
      </c>
      <c r="W21" s="603">
        <f>+W20+W19+W18+W17</f>
        <v>166707.85105122111</v>
      </c>
    </row>
    <row r="22" spans="1:26" x14ac:dyDescent="0.35">
      <c r="A22" s="312" t="s">
        <v>368</v>
      </c>
      <c r="B22" s="312" t="s">
        <v>368</v>
      </c>
      <c r="C22" s="312" t="s">
        <v>839</v>
      </c>
      <c r="D22" s="312" t="s">
        <v>839</v>
      </c>
      <c r="F22" s="245" t="s">
        <v>838</v>
      </c>
      <c r="I22" s="604">
        <f>SUM(J22:U22)</f>
        <v>1551653.7757195185</v>
      </c>
      <c r="J22" s="638">
        <v>129304.48130995984</v>
      </c>
      <c r="K22" s="638">
        <v>129304.48130995984</v>
      </c>
      <c r="L22" s="638">
        <v>129304.48130995984</v>
      </c>
      <c r="M22" s="638">
        <v>129304.48130995984</v>
      </c>
      <c r="N22" s="638">
        <v>129304.48130995984</v>
      </c>
      <c r="O22" s="638">
        <v>129304.48130995984</v>
      </c>
      <c r="P22" s="638">
        <v>129304.48130995984</v>
      </c>
      <c r="Q22" s="638">
        <v>129304.48130995984</v>
      </c>
      <c r="R22" s="638">
        <v>129304.48130995984</v>
      </c>
      <c r="S22" s="638">
        <v>129304.48130995984</v>
      </c>
      <c r="T22" s="638">
        <v>129304.48130995984</v>
      </c>
      <c r="U22" s="638">
        <v>129304.48130995984</v>
      </c>
      <c r="V22" s="605">
        <f>SUM(L22:T22)</f>
        <v>1163740.3317896388</v>
      </c>
      <c r="W22" s="605">
        <f>U22+J22+K22</f>
        <v>387913.44392987952</v>
      </c>
    </row>
    <row r="23" spans="1:26" x14ac:dyDescent="0.35">
      <c r="A23" s="312" t="s">
        <v>364</v>
      </c>
      <c r="B23" s="312" t="s">
        <v>358</v>
      </c>
      <c r="C23" s="312" t="s">
        <v>827</v>
      </c>
      <c r="D23" s="312" t="s">
        <v>830</v>
      </c>
      <c r="F23" s="245" t="s">
        <v>836</v>
      </c>
      <c r="I23" s="604">
        <f>SUM(J23:U23)</f>
        <v>8711465.7918892875</v>
      </c>
      <c r="J23" s="603">
        <f>TariffRandValues20232024!J23*'Tariff SUMMARY 26-27'!$F$3+TariffRandValues20232024!J23</f>
        <v>1405742.0087445925</v>
      </c>
      <c r="K23" s="603">
        <f>TariffRandValues20232024!K23*'Tariff SUMMARY 26-27'!$F$3+TariffRandValues20232024!K23</f>
        <v>1386435.3047297508</v>
      </c>
      <c r="L23" s="603">
        <f>TariffRandValues20232024!L23*'Tariff SUMMARY 26-27'!$F$3+TariffRandValues20232024!L23</f>
        <v>641580.958690017</v>
      </c>
      <c r="M23" s="603">
        <f>TariffRandValues20232024!M23*'Tariff SUMMARY 26-27'!$F$3+TariffRandValues20232024!M23</f>
        <v>544298.92209618271</v>
      </c>
      <c r="N23" s="603">
        <f>TariffRandValues20232024!N23*'Tariff SUMMARY 26-27'!$F$3+TariffRandValues20232024!N23</f>
        <v>516772.56201275904</v>
      </c>
      <c r="O23" s="603">
        <f>TariffRandValues20232024!O23*'Tariff SUMMARY 26-27'!$F$3+TariffRandValues20232024!O23</f>
        <v>401119.23532462551</v>
      </c>
      <c r="P23" s="603">
        <f>TariffRandValues20232024!P23*'Tariff SUMMARY 26-27'!$F$3+TariffRandValues20232024!P23</f>
        <v>426137.09422540996</v>
      </c>
      <c r="Q23" s="603">
        <f>TariffRandValues20232024!Q23*'Tariff SUMMARY 26-27'!$F$3+TariffRandValues20232024!Q23</f>
        <v>453133.07522888837</v>
      </c>
      <c r="R23" s="603">
        <f>TariffRandValues20232024!R23*'Tariff SUMMARY 26-27'!$F$3+TariffRandValues20232024!R23</f>
        <v>476387.45454441814</v>
      </c>
      <c r="S23" s="603">
        <f>TariffRandValues20232024!S23*'Tariff SUMMARY 26-27'!$F$3+TariffRandValues20232024!S23</f>
        <v>488350.99789097207</v>
      </c>
      <c r="T23" s="603">
        <f>TariffRandValues20232024!T23*'Tariff SUMMARY 26-27'!$F$3+TariffRandValues20232024!T23</f>
        <v>607543.2613182175</v>
      </c>
      <c r="U23" s="603">
        <f>TariffRandValues20232024!U23*'Tariff SUMMARY 26-27'!$F$3+TariffRandValues20232024!U23</f>
        <v>1363964.9170834532</v>
      </c>
      <c r="V23" s="605">
        <f>SUM(L23:T23)</f>
        <v>4555323.5613314901</v>
      </c>
      <c r="W23" s="605">
        <f>U23+J23+K23</f>
        <v>4156142.2305577965</v>
      </c>
    </row>
    <row r="24" spans="1:26" x14ac:dyDescent="0.35">
      <c r="A24" s="312" t="s">
        <v>366</v>
      </c>
      <c r="B24" s="312" t="s">
        <v>360</v>
      </c>
      <c r="C24" s="312" t="s">
        <v>826</v>
      </c>
      <c r="D24" s="312" t="s">
        <v>829</v>
      </c>
      <c r="F24" s="245" t="s">
        <v>835</v>
      </c>
      <c r="I24" s="604">
        <f>SUM(J24:U24)</f>
        <v>12102344.35980414</v>
      </c>
      <c r="J24" s="603">
        <f>TariffRandValues20232024!J24*'Tariff SUMMARY 26-27'!$F$3+TariffRandValues20232024!J24</f>
        <v>1632733.0935102385</v>
      </c>
      <c r="K24" s="603">
        <f>TariffRandValues20232024!K24*'Tariff SUMMARY 26-27'!$F$3+TariffRandValues20232024!K24</f>
        <v>1580259.1918742794</v>
      </c>
      <c r="L24" s="603">
        <f>TariffRandValues20232024!L24*'Tariff SUMMARY 26-27'!$F$3+TariffRandValues20232024!L24</f>
        <v>1000507.9621868604</v>
      </c>
      <c r="M24" s="603">
        <f>TariffRandValues20232024!M24*'Tariff SUMMARY 26-27'!$F$3+TariffRandValues20232024!M24</f>
        <v>892435.7446214658</v>
      </c>
      <c r="N24" s="603">
        <f>TariffRandValues20232024!N24*'Tariff SUMMARY 26-27'!$F$3+TariffRandValues20232024!N24</f>
        <v>855399.42097106355</v>
      </c>
      <c r="O24" s="603">
        <f>TariffRandValues20232024!O24*'Tariff SUMMARY 26-27'!$F$3+TariffRandValues20232024!O24</f>
        <v>683789.8768980169</v>
      </c>
      <c r="P24" s="603">
        <f>TariffRandValues20232024!P24*'Tariff SUMMARY 26-27'!$F$3+TariffRandValues20232024!P24</f>
        <v>734037.17072432011</v>
      </c>
      <c r="Q24" s="603">
        <f>TariffRandValues20232024!Q24*'Tariff SUMMARY 26-27'!$F$3+TariffRandValues20232024!Q24</f>
        <v>701564.55032213265</v>
      </c>
      <c r="R24" s="603">
        <f>TariffRandValues20232024!R24*'Tariff SUMMARY 26-27'!$F$3+TariffRandValues20232024!R24</f>
        <v>742050.29660910799</v>
      </c>
      <c r="S24" s="603">
        <f>TariffRandValues20232024!S24*'Tariff SUMMARY 26-27'!$F$3+TariffRandValues20232024!S24</f>
        <v>745135.71193613869</v>
      </c>
      <c r="T24" s="603">
        <f>TariffRandValues20232024!T24*'Tariff SUMMARY 26-27'!$F$3+TariffRandValues20232024!T24</f>
        <v>881919.65297413059</v>
      </c>
      <c r="U24" s="603">
        <f>TariffRandValues20232024!U24*'Tariff SUMMARY 26-27'!$F$3+TariffRandValues20232024!U24</f>
        <v>1652511.6871763864</v>
      </c>
      <c r="V24" s="605">
        <f>SUM(L24:T24)</f>
        <v>7236840.3872432364</v>
      </c>
      <c r="W24" s="605">
        <f>U24+J24+K24</f>
        <v>4865503.972560904</v>
      </c>
      <c r="Z24" s="245">
        <f>3578510707.1-'MSCOA - Tariff Structure'!Q6</f>
        <v>272273904.16000032</v>
      </c>
    </row>
    <row r="25" spans="1:26" x14ac:dyDescent="0.35">
      <c r="A25" s="312" t="s">
        <v>362</v>
      </c>
      <c r="B25" s="312" t="s">
        <v>356</v>
      </c>
      <c r="C25" s="312" t="s">
        <v>828</v>
      </c>
      <c r="D25" s="312" t="s">
        <v>831</v>
      </c>
      <c r="F25" s="245" t="s">
        <v>837</v>
      </c>
      <c r="I25" s="604">
        <f>SUM(J25:U25)</f>
        <v>11124079.300227977</v>
      </c>
      <c r="J25" s="603">
        <f>TariffRandValues20232024!J25*'Tariff SUMMARY 26-27'!$F$3+TariffRandValues20232024!J25</f>
        <v>1454433.8500882247</v>
      </c>
      <c r="K25" s="603">
        <f>TariffRandValues20232024!K25*'Tariff SUMMARY 26-27'!$F$3+TariffRandValues20232024!K25</f>
        <v>1531056.8545108542</v>
      </c>
      <c r="L25" s="603">
        <f>TariffRandValues20232024!L25*'Tariff SUMMARY 26-27'!$F$3+TariffRandValues20232024!L25</f>
        <v>799322.18491593818</v>
      </c>
      <c r="M25" s="603">
        <f>TariffRandValues20232024!M25*'Tariff SUMMARY 26-27'!$F$3+TariffRandValues20232024!M25</f>
        <v>807363.84932651394</v>
      </c>
      <c r="N25" s="603">
        <f>TariffRandValues20232024!N25*'Tariff SUMMARY 26-27'!$F$3+TariffRandValues20232024!N25</f>
        <v>717273.80277382943</v>
      </c>
      <c r="O25" s="603">
        <f>TariffRandValues20232024!O25*'Tariff SUMMARY 26-27'!$F$3+TariffRandValues20232024!O25</f>
        <v>698602.16431527212</v>
      </c>
      <c r="P25" s="603">
        <f>TariffRandValues20232024!P25*'Tariff SUMMARY 26-27'!$F$3+TariffRandValues20232024!P25</f>
        <v>724216.90573474555</v>
      </c>
      <c r="Q25" s="603">
        <f>TariffRandValues20232024!Q25*'Tariff SUMMARY 26-27'!$F$3+TariffRandValues20232024!Q25</f>
        <v>747702.13677753182</v>
      </c>
      <c r="R25" s="603">
        <f>TariffRandValues20232024!R25*'Tariff SUMMARY 26-27'!$F$3+TariffRandValues20232024!R25</f>
        <v>723638.64821450191</v>
      </c>
      <c r="S25" s="603">
        <f>TariffRandValues20232024!S25*'Tariff SUMMARY 26-27'!$F$3+TariffRandValues20232024!S25</f>
        <v>740487.21656110696</v>
      </c>
      <c r="T25" s="603">
        <f>TariffRandValues20232024!T25*'Tariff SUMMARY 26-27'!$F$3+TariffRandValues20232024!T25</f>
        <v>789424.49639078311</v>
      </c>
      <c r="U25" s="603">
        <f>TariffRandValues20232024!U25*'Tariff SUMMARY 26-27'!$F$3+TariffRandValues20232024!U25</f>
        <v>1390557.190618675</v>
      </c>
      <c r="V25" s="605">
        <f>SUM(L25:T25)</f>
        <v>6748031.4050102243</v>
      </c>
      <c r="W25" s="605">
        <f>U25+J25+K25</f>
        <v>4376047.8952177539</v>
      </c>
      <c r="Z25" s="245">
        <f>Z24/2</f>
        <v>136136952.08000016</v>
      </c>
    </row>
    <row r="26" spans="1:26" x14ac:dyDescent="0.35">
      <c r="A26" s="247" t="s">
        <v>545</v>
      </c>
      <c r="I26" s="601">
        <f>+I27</f>
        <v>146841897.31048647</v>
      </c>
      <c r="J26" s="602"/>
      <c r="K26" s="602"/>
      <c r="L26" s="602"/>
      <c r="M26" s="602"/>
      <c r="N26" s="602"/>
      <c r="O26" s="602"/>
      <c r="P26" s="602"/>
      <c r="Q26" s="602"/>
      <c r="R26" s="602"/>
      <c r="S26" s="602"/>
      <c r="T26" s="602"/>
      <c r="U26" s="602"/>
      <c r="V26" s="603">
        <f>+V25+V24+V23+V22</f>
        <v>19703935.685374591</v>
      </c>
      <c r="W26" s="603">
        <f>+W25+W24+W23+W22</f>
        <v>13785607.542266333</v>
      </c>
      <c r="X26" s="245">
        <f>+V26+W26</f>
        <v>33489543.227640927</v>
      </c>
    </row>
    <row r="27" spans="1:26" x14ac:dyDescent="0.35">
      <c r="A27" s="309" t="s">
        <v>313</v>
      </c>
      <c r="B27" s="309" t="s">
        <v>311</v>
      </c>
      <c r="C27" s="309" t="s">
        <v>510</v>
      </c>
      <c r="D27" s="309" t="s">
        <v>514</v>
      </c>
      <c r="E27" s="245" t="s">
        <v>510</v>
      </c>
      <c r="F27" s="245" t="s">
        <v>514</v>
      </c>
      <c r="I27" s="604">
        <f>SUM(J27:U27)</f>
        <v>146841897.31048647</v>
      </c>
      <c r="J27" s="603">
        <f>TariffRandValues20232024!J27*'Tariff SUMMARY 26-27'!$F$3+TariffRandValues20232024!J27</f>
        <v>12552399.190017285</v>
      </c>
      <c r="K27" s="603">
        <f>TariffRandValues20232024!K27*'Tariff SUMMARY 26-27'!$F$3+TariffRandValues20232024!K27</f>
        <v>12282020.478637775</v>
      </c>
      <c r="L27" s="603">
        <f>TariffRandValues20232024!L27*'Tariff SUMMARY 26-27'!$F$3+TariffRandValues20232024!L27</f>
        <v>11348557.789491126</v>
      </c>
      <c r="M27" s="603">
        <f>TariffRandValues20232024!M27*'Tariff SUMMARY 26-27'!$F$3+TariffRandValues20232024!M27</f>
        <v>12079624.850313945</v>
      </c>
      <c r="N27" s="603">
        <f>TariffRandValues20232024!N27*'Tariff SUMMARY 26-27'!$F$3+TariffRandValues20232024!N27</f>
        <v>11799075.840653934</v>
      </c>
      <c r="O27" s="603">
        <f>TariffRandValues20232024!O27*'Tariff SUMMARY 26-27'!$F$3+TariffRandValues20232024!O27</f>
        <v>12787489.959208658</v>
      </c>
      <c r="P27" s="603">
        <f>TariffRandValues20232024!P27*'Tariff SUMMARY 26-27'!$F$3+TariffRandValues20232024!P27</f>
        <v>10991799.839073272</v>
      </c>
      <c r="Q27" s="603">
        <f>TariffRandValues20232024!Q27*'Tariff SUMMARY 26-27'!$F$3+TariffRandValues20232024!Q27</f>
        <v>11735450.104284195</v>
      </c>
      <c r="R27" s="603">
        <f>TariffRandValues20232024!R27*'Tariff SUMMARY 26-27'!$F$3+TariffRandValues20232024!R27</f>
        <v>11713575.046103088</v>
      </c>
      <c r="S27" s="603">
        <f>TariffRandValues20232024!S27*'Tariff SUMMARY 26-27'!$F$3+TariffRandValues20232024!S27</f>
        <v>12166727.94934649</v>
      </c>
      <c r="T27" s="603">
        <f>TariffRandValues20232024!T27*'Tariff SUMMARY 26-27'!$F$3+TariffRandValues20232024!T27</f>
        <v>13213002.357497036</v>
      </c>
      <c r="U27" s="603">
        <f>TariffRandValues20232024!U27*'Tariff SUMMARY 26-27'!$F$3+TariffRandValues20232024!U27</f>
        <v>14172173.905859653</v>
      </c>
      <c r="V27" s="609">
        <f>SUM(L27:T27)</f>
        <v>107835303.73597175</v>
      </c>
      <c r="W27" s="609">
        <f>U27+J27+K27</f>
        <v>39006593.574514717</v>
      </c>
    </row>
    <row r="28" spans="1:26" x14ac:dyDescent="0.35">
      <c r="A28" s="247" t="s">
        <v>546</v>
      </c>
      <c r="I28" s="601">
        <f>+I29</f>
        <v>45649989.463651046</v>
      </c>
      <c r="J28" s="602"/>
      <c r="K28" s="602"/>
      <c r="L28" s="602"/>
      <c r="M28" s="602"/>
      <c r="N28" s="602"/>
      <c r="O28" s="602"/>
      <c r="P28" s="602"/>
      <c r="Q28" s="602"/>
      <c r="R28" s="602"/>
      <c r="S28" s="602"/>
      <c r="T28" s="602"/>
      <c r="U28" s="602"/>
      <c r="V28" s="603">
        <f>+V27</f>
        <v>107835303.73597175</v>
      </c>
      <c r="W28" s="603">
        <f>+W27</f>
        <v>39006593.574514717</v>
      </c>
      <c r="X28" s="245">
        <f>+W28+V28</f>
        <v>146841897.31048647</v>
      </c>
    </row>
    <row r="29" spans="1:26" x14ac:dyDescent="0.35">
      <c r="A29" s="309" t="s">
        <v>313</v>
      </c>
      <c r="B29" s="309" t="s">
        <v>311</v>
      </c>
      <c r="C29" s="309" t="s">
        <v>510</v>
      </c>
      <c r="D29" s="309" t="s">
        <v>514</v>
      </c>
      <c r="E29" s="245" t="s">
        <v>510</v>
      </c>
      <c r="F29" s="245" t="s">
        <v>514</v>
      </c>
      <c r="I29" s="604">
        <f>SUM(J29:U29)</f>
        <v>45649989.463651046</v>
      </c>
      <c r="J29" s="603">
        <f>TariffRandValues20232024!J29*'Tariff SUMMARY 26-27'!$F$3+TariffRandValues20232024!J29</f>
        <v>5732451.0533950003</v>
      </c>
      <c r="K29" s="603">
        <f>TariffRandValues20232024!K29*'Tariff SUMMARY 26-27'!$F$3+TariffRandValues20232024!K29</f>
        <v>7732304.9947403744</v>
      </c>
      <c r="L29" s="603">
        <f>TariffRandValues20232024!L29*'Tariff SUMMARY 26-27'!$F$3+TariffRandValues20232024!L29</f>
        <v>4958720.2873512693</v>
      </c>
      <c r="M29" s="603">
        <f>TariffRandValues20232024!M29*'Tariff SUMMARY 26-27'!$F$3+TariffRandValues20232024!M29</f>
        <v>3703069.8697158489</v>
      </c>
      <c r="N29" s="603">
        <f>TariffRandValues20232024!N29*'Tariff SUMMARY 26-27'!$F$3+TariffRandValues20232024!N29</f>
        <v>3946004.9392910236</v>
      </c>
      <c r="O29" s="603">
        <f>TariffRandValues20232024!O29*'Tariff SUMMARY 26-27'!$F$3+TariffRandValues20232024!O29</f>
        <v>3038708.9765587584</v>
      </c>
      <c r="P29" s="603">
        <f>TariffRandValues20232024!P29*'Tariff SUMMARY 26-27'!$F$3+TariffRandValues20232024!P29</f>
        <v>2961230.2592618326</v>
      </c>
      <c r="Q29" s="603">
        <f>TariffRandValues20232024!Q29*'Tariff SUMMARY 26-27'!$F$3+TariffRandValues20232024!Q29</f>
        <v>2222365.494707929</v>
      </c>
      <c r="R29" s="603">
        <f>TariffRandValues20232024!R29*'Tariff SUMMARY 26-27'!$F$3+TariffRandValues20232024!R29</f>
        <v>1706097.0071444316</v>
      </c>
      <c r="S29" s="603">
        <f>TariffRandValues20232024!S29*'Tariff SUMMARY 26-27'!$F$3+TariffRandValues20232024!S29</f>
        <v>1074642.4863285846</v>
      </c>
      <c r="T29" s="603">
        <f>TariffRandValues20232024!T29*'Tariff SUMMARY 26-27'!$F$3+TariffRandValues20232024!T29</f>
        <v>703846.25162358116</v>
      </c>
      <c r="U29" s="603">
        <f>TariffRandValues20232024!U29*'Tariff SUMMARY 26-27'!$F$3+TariffRandValues20232024!U29</f>
        <v>7870547.8435324226</v>
      </c>
      <c r="V29" s="609">
        <f>SUM(L29:T29)</f>
        <v>24314685.571983259</v>
      </c>
      <c r="W29" s="609">
        <f>U29+J29+K29</f>
        <v>21335303.891667798</v>
      </c>
    </row>
    <row r="30" spans="1:26" x14ac:dyDescent="0.35">
      <c r="A30" s="247" t="s">
        <v>539</v>
      </c>
      <c r="I30" s="601">
        <f>SUM(I31:I34)</f>
        <v>450253.83688775956</v>
      </c>
      <c r="J30" s="602"/>
      <c r="K30" s="602"/>
      <c r="L30" s="602"/>
      <c r="M30" s="602"/>
      <c r="N30" s="602"/>
      <c r="O30" s="602"/>
      <c r="P30" s="602"/>
      <c r="Q30" s="602"/>
      <c r="R30" s="602"/>
      <c r="S30" s="602"/>
      <c r="T30" s="602"/>
      <c r="U30" s="602"/>
      <c r="V30" s="603">
        <f>+V29</f>
        <v>24314685.571983259</v>
      </c>
      <c r="W30" s="603">
        <f>+W29</f>
        <v>21335303.891667798</v>
      </c>
      <c r="X30" s="245">
        <f>+W30+V30</f>
        <v>45649989.463651061</v>
      </c>
    </row>
    <row r="31" spans="1:26" x14ac:dyDescent="0.35">
      <c r="A31" s="311" t="s">
        <v>401</v>
      </c>
      <c r="B31" s="311" t="s">
        <v>401</v>
      </c>
      <c r="C31" s="311" t="s">
        <v>875</v>
      </c>
      <c r="D31" s="311" t="s">
        <v>875</v>
      </c>
      <c r="E31" s="245" t="s">
        <v>876</v>
      </c>
      <c r="F31" s="245" t="s">
        <v>876</v>
      </c>
      <c r="I31" s="604">
        <f>SUM(J31:U31)</f>
        <v>171334.92072862189</v>
      </c>
      <c r="J31" s="638">
        <v>14277.91006071849</v>
      </c>
      <c r="K31" s="638">
        <v>14277.91006071849</v>
      </c>
      <c r="L31" s="638">
        <v>14277.91006071849</v>
      </c>
      <c r="M31" s="638">
        <v>14277.91006071849</v>
      </c>
      <c r="N31" s="638">
        <v>14277.91006071849</v>
      </c>
      <c r="O31" s="638">
        <v>14277.91006071849</v>
      </c>
      <c r="P31" s="638">
        <v>14277.91006071849</v>
      </c>
      <c r="Q31" s="638">
        <v>14277.91006071849</v>
      </c>
      <c r="R31" s="638">
        <v>14277.91006071849</v>
      </c>
      <c r="S31" s="638">
        <v>14277.91006071849</v>
      </c>
      <c r="T31" s="638">
        <v>14277.91006071849</v>
      </c>
      <c r="U31" s="638">
        <v>14277.91006071849</v>
      </c>
      <c r="V31" s="605">
        <f>SUM(L31:T31)</f>
        <v>128501.19054646643</v>
      </c>
      <c r="W31" s="605">
        <f>U31+J31+K31</f>
        <v>42833.730182155472</v>
      </c>
    </row>
    <row r="32" spans="1:26" x14ac:dyDescent="0.35">
      <c r="A32" s="311" t="s">
        <v>403</v>
      </c>
      <c r="B32" s="311" t="s">
        <v>411</v>
      </c>
      <c r="C32" s="311" t="s">
        <v>871</v>
      </c>
      <c r="D32" s="311" t="s">
        <v>874</v>
      </c>
      <c r="E32" s="245" t="s">
        <v>864</v>
      </c>
      <c r="F32" s="245" t="s">
        <v>867</v>
      </c>
      <c r="I32" s="604">
        <f>SUM(J32:U32)</f>
        <v>73759.546996157995</v>
      </c>
      <c r="J32" s="603">
        <f>TariffRandValues20232024!J32*'Tariff SUMMARY 26-27'!$F$3+TariffRandValues20232024!J32</f>
        <v>7247.7100303998386</v>
      </c>
      <c r="K32" s="603">
        <f>TariffRandValues20232024!K32*'Tariff SUMMARY 26-27'!$F$3+TariffRandValues20232024!K32</f>
        <v>7244.8948390887481</v>
      </c>
      <c r="L32" s="603">
        <f>TariffRandValues20232024!L32*'Tariff SUMMARY 26-27'!$F$3+TariffRandValues20232024!L32</f>
        <v>10046.009118997979</v>
      </c>
      <c r="M32" s="603">
        <f>TariffRandValues20232024!M32*'Tariff SUMMARY 26-27'!$F$3+TariffRandValues20232024!M32</f>
        <v>6053.9123774865393</v>
      </c>
      <c r="N32" s="603">
        <f>TariffRandValues20232024!N32*'Tariff SUMMARY 26-27'!$F$3+TariffRandValues20232024!N32</f>
        <v>5603.7508798116442</v>
      </c>
      <c r="O32" s="603">
        <f>TariffRandValues20232024!O32*'Tariff SUMMARY 26-27'!$F$3+TariffRandValues20232024!O32</f>
        <v>5153.1145282362468</v>
      </c>
      <c r="P32" s="603">
        <f>TariffRandValues20232024!P32*'Tariff SUMMARY 26-27'!$F$3+TariffRandValues20232024!P32</f>
        <v>4829.2641680946035</v>
      </c>
      <c r="Q32" s="603">
        <f>TariffRandValues20232024!Q32*'Tariff SUMMARY 26-27'!$F$3+TariffRandValues20232024!Q32</f>
        <v>4594.2114873466371</v>
      </c>
      <c r="R32" s="603">
        <f>TariffRandValues20232024!R32*'Tariff SUMMARY 26-27'!$F$3+TariffRandValues20232024!R32</f>
        <v>4557.1728831075634</v>
      </c>
      <c r="S32" s="603">
        <f>TariffRandValues20232024!S32*'Tariff SUMMARY 26-27'!$F$3+TariffRandValues20232024!S32</f>
        <v>4766.1085993279785</v>
      </c>
      <c r="T32" s="603">
        <f>TariffRandValues20232024!T32*'Tariff SUMMARY 26-27'!$F$3+TariffRandValues20232024!T32</f>
        <v>5681.6269194938004</v>
      </c>
      <c r="U32" s="603">
        <f>TariffRandValues20232024!U32*'Tariff SUMMARY 26-27'!$F$3+TariffRandValues20232024!U32</f>
        <v>7981.7711647664182</v>
      </c>
      <c r="V32" s="605">
        <f>SUM(L32:T32)</f>
        <v>51285.170961902986</v>
      </c>
      <c r="W32" s="605">
        <f>U32+J32+K32</f>
        <v>22474.376034255005</v>
      </c>
    </row>
    <row r="33" spans="1:24" x14ac:dyDescent="0.35">
      <c r="A33" s="311" t="s">
        <v>405</v>
      </c>
      <c r="B33" s="311" t="s">
        <v>413</v>
      </c>
      <c r="C33" s="311" t="s">
        <v>870</v>
      </c>
      <c r="D33" s="311" t="s">
        <v>873</v>
      </c>
      <c r="E33" s="245" t="s">
        <v>863</v>
      </c>
      <c r="F33" s="245" t="s">
        <v>866</v>
      </c>
      <c r="I33" s="604">
        <f>SUM(J33:U33)</f>
        <v>105240.99480010661</v>
      </c>
      <c r="J33" s="603">
        <f>TariffRandValues20232024!J33*'Tariff SUMMARY 26-27'!$F$3+TariffRandValues20232024!J33</f>
        <v>10784.710206418995</v>
      </c>
      <c r="K33" s="603">
        <f>TariffRandValues20232024!K33*'Tariff SUMMARY 26-27'!$F$3+TariffRandValues20232024!K33</f>
        <v>11426.775073262981</v>
      </c>
      <c r="L33" s="603">
        <f>TariffRandValues20232024!L33*'Tariff SUMMARY 26-27'!$F$3+TariffRandValues20232024!L33</f>
        <v>13139.133261468289</v>
      </c>
      <c r="M33" s="603">
        <f>TariffRandValues20232024!M33*'Tariff SUMMARY 26-27'!$F$3+TariffRandValues20232024!M33</f>
        <v>8694.9406162454379</v>
      </c>
      <c r="N33" s="603">
        <f>TariffRandValues20232024!N33*'Tariff SUMMARY 26-27'!$F$3+TariffRandValues20232024!N33</f>
        <v>8087.0473523887085</v>
      </c>
      <c r="O33" s="603">
        <f>TariffRandValues20232024!O33*'Tariff SUMMARY 26-27'!$F$3+TariffRandValues20232024!O33</f>
        <v>7387.9965982239064</v>
      </c>
      <c r="P33" s="603">
        <f>TariffRandValues20232024!P33*'Tariff SUMMARY 26-27'!$F$3+TariffRandValues20232024!P33</f>
        <v>7210.4514862866754</v>
      </c>
      <c r="Q33" s="603">
        <f>TariffRandValues20232024!Q33*'Tariff SUMMARY 26-27'!$F$3+TariffRandValues20232024!Q33</f>
        <v>6902.7949564969349</v>
      </c>
      <c r="R33" s="603">
        <f>TariffRandValues20232024!R33*'Tariff SUMMARY 26-27'!$F$3+TariffRandValues20232024!R33</f>
        <v>6719.9499904720233</v>
      </c>
      <c r="S33" s="603">
        <f>TariffRandValues20232024!S33*'Tariff SUMMARY 26-27'!$F$3+TariffRandValues20232024!S33</f>
        <v>6437.7327603031408</v>
      </c>
      <c r="T33" s="603">
        <f>TariffRandValues20232024!T33*'Tariff SUMMARY 26-27'!$F$3+TariffRandValues20232024!T33</f>
        <v>6892.7252337303453</v>
      </c>
      <c r="U33" s="603">
        <f>TariffRandValues20232024!U33*'Tariff SUMMARY 26-27'!$F$3+TariffRandValues20232024!U33</f>
        <v>11556.737264809151</v>
      </c>
      <c r="V33" s="605">
        <f>SUM(L33:T33)</f>
        <v>71472.772255615462</v>
      </c>
      <c r="W33" s="605">
        <f>U33+J33+K33</f>
        <v>33768.222544491124</v>
      </c>
    </row>
    <row r="34" spans="1:24" x14ac:dyDescent="0.35">
      <c r="A34" s="311" t="s">
        <v>407</v>
      </c>
      <c r="B34" s="311" t="s">
        <v>409</v>
      </c>
      <c r="C34" s="311" t="s">
        <v>872</v>
      </c>
      <c r="D34" s="311" t="s">
        <v>869</v>
      </c>
      <c r="E34" s="245" t="s">
        <v>865</v>
      </c>
      <c r="F34" s="245" t="s">
        <v>868</v>
      </c>
      <c r="I34" s="604">
        <f>SUM(J34:U34)</f>
        <v>99918.374362873074</v>
      </c>
      <c r="J34" s="603">
        <f>TariffRandValues20232024!J34*'Tariff SUMMARY 26-27'!$F$3+TariffRandValues20232024!J34</f>
        <v>9701.5870047951012</v>
      </c>
      <c r="K34" s="603">
        <f>TariffRandValues20232024!K34*'Tariff SUMMARY 26-27'!$F$3+TariffRandValues20232024!K34</f>
        <v>11526.300276053487</v>
      </c>
      <c r="L34" s="603">
        <f>TariffRandValues20232024!L34*'Tariff SUMMARY 26-27'!$F$3+TariffRandValues20232024!L34</f>
        <v>9813.0374817240536</v>
      </c>
      <c r="M34" s="603">
        <f>TariffRandValues20232024!M34*'Tariff SUMMARY 26-27'!$F$3+TariffRandValues20232024!M34</f>
        <v>8353.3158806336141</v>
      </c>
      <c r="N34" s="603">
        <f>TariffRandValues20232024!N34*'Tariff SUMMARY 26-27'!$F$3+TariffRandValues20232024!N34</f>
        <v>8255.6896212614938</v>
      </c>
      <c r="O34" s="603">
        <f>TariffRandValues20232024!O34*'Tariff SUMMARY 26-27'!$F$3+TariffRandValues20232024!O34</f>
        <v>8797.9211122325869</v>
      </c>
      <c r="P34" s="603">
        <f>TariffRandValues20232024!P34*'Tariff SUMMARY 26-27'!$F$3+TariffRandValues20232024!P34</f>
        <v>8100.0286082072062</v>
      </c>
      <c r="Q34" s="603">
        <f>TariffRandValues20232024!Q34*'Tariff SUMMARY 26-27'!$F$3+TariffRandValues20232024!Q34</f>
        <v>6056.0249107234231</v>
      </c>
      <c r="R34" s="603">
        <f>TariffRandValues20232024!R34*'Tariff SUMMARY 26-27'!$F$3+TariffRandValues20232024!R34</f>
        <v>6147.7493307380355</v>
      </c>
      <c r="S34" s="603">
        <f>TariffRandValues20232024!S34*'Tariff SUMMARY 26-27'!$F$3+TariffRandValues20232024!S34</f>
        <v>6418.250301290509</v>
      </c>
      <c r="T34" s="603">
        <f>TariffRandValues20232024!T34*'Tariff SUMMARY 26-27'!$F$3+TariffRandValues20232024!T34</f>
        <v>6885.4792504265997</v>
      </c>
      <c r="U34" s="603">
        <f>TariffRandValues20232024!U34*'Tariff SUMMARY 26-27'!$F$3+TariffRandValues20232024!U34</f>
        <v>9862.9905847869704</v>
      </c>
      <c r="V34" s="605">
        <f>SUM(L34:T34)</f>
        <v>68827.496497237516</v>
      </c>
      <c r="W34" s="605">
        <f>U34+J34+K34</f>
        <v>31090.877865635557</v>
      </c>
    </row>
    <row r="35" spans="1:24" x14ac:dyDescent="0.35">
      <c r="A35" s="247" t="s">
        <v>538</v>
      </c>
      <c r="B35" s="248"/>
      <c r="C35" s="248"/>
      <c r="D35" s="248"/>
      <c r="E35" s="248"/>
      <c r="F35" s="248"/>
      <c r="G35" s="248"/>
      <c r="H35" s="248"/>
      <c r="I35" s="601">
        <f>SUM(I36:I39)</f>
        <v>71137456.33391203</v>
      </c>
      <c r="J35" s="607"/>
      <c r="K35" s="607"/>
      <c r="L35" s="607"/>
      <c r="M35" s="607"/>
      <c r="N35" s="607"/>
      <c r="O35" s="607"/>
      <c r="P35" s="607"/>
      <c r="Q35" s="607"/>
      <c r="R35" s="607"/>
      <c r="S35" s="607"/>
      <c r="T35" s="607"/>
      <c r="U35" s="607"/>
      <c r="V35" s="603">
        <f>+V34+V33+V32+V31</f>
        <v>320086.63026122242</v>
      </c>
      <c r="W35" s="603">
        <f>+W34+W33+W32+W31</f>
        <v>130167.20662653715</v>
      </c>
      <c r="X35" s="245">
        <f>+W35+V35</f>
        <v>450253.83688775956</v>
      </c>
    </row>
    <row r="36" spans="1:24" x14ac:dyDescent="0.35">
      <c r="A36" s="311" t="s">
        <v>392</v>
      </c>
      <c r="B36" s="311" t="s">
        <v>392</v>
      </c>
      <c r="C36" s="311" t="s">
        <v>876</v>
      </c>
      <c r="D36" s="311" t="s">
        <v>876</v>
      </c>
      <c r="E36" s="245" t="s">
        <v>875</v>
      </c>
      <c r="F36" s="245" t="s">
        <v>875</v>
      </c>
      <c r="I36" s="604">
        <f>SUM(J36:U36)</f>
        <v>6003017.5213681953</v>
      </c>
      <c r="J36" s="638">
        <v>500251.46011401637</v>
      </c>
      <c r="K36" s="638">
        <v>500251.46011401637</v>
      </c>
      <c r="L36" s="638">
        <v>500251.46011401637</v>
      </c>
      <c r="M36" s="638">
        <v>500251.46011401637</v>
      </c>
      <c r="N36" s="638">
        <v>500251.46011401637</v>
      </c>
      <c r="O36" s="638">
        <v>500251.46011401637</v>
      </c>
      <c r="P36" s="638">
        <v>500251.46011401637</v>
      </c>
      <c r="Q36" s="638">
        <v>500251.46011401637</v>
      </c>
      <c r="R36" s="638">
        <v>500251.46011401637</v>
      </c>
      <c r="S36" s="638">
        <v>500251.46011401637</v>
      </c>
      <c r="T36" s="638">
        <v>500251.46011401637</v>
      </c>
      <c r="U36" s="638">
        <v>500251.46011401637</v>
      </c>
      <c r="V36" s="605">
        <f>SUM(L36:T36)</f>
        <v>4502263.1410261467</v>
      </c>
      <c r="W36" s="605">
        <f>U36+J36+K36</f>
        <v>1500754.3803420491</v>
      </c>
    </row>
    <row r="37" spans="1:24" x14ac:dyDescent="0.35">
      <c r="A37" s="311" t="s">
        <v>396</v>
      </c>
      <c r="B37" s="311" t="s">
        <v>388</v>
      </c>
      <c r="C37" s="311" t="s">
        <v>864</v>
      </c>
      <c r="D37" s="311" t="s">
        <v>867</v>
      </c>
      <c r="E37" s="245" t="s">
        <v>871</v>
      </c>
      <c r="F37" s="245" t="s">
        <v>874</v>
      </c>
      <c r="I37" s="604">
        <f>SUM(J37:U37)</f>
        <v>18118223.70292069</v>
      </c>
      <c r="J37" s="603">
        <f>TariffRandValues20232024!J37*'Tariff SUMMARY 26-27'!$F$3+TariffRandValues20232024!J37</f>
        <v>2238624.3655070034</v>
      </c>
      <c r="K37" s="603">
        <f>TariffRandValues20232024!K37*'Tariff SUMMARY 26-27'!$F$3+TariffRandValues20232024!K37</f>
        <v>1952695.5187283664</v>
      </c>
      <c r="L37" s="603">
        <f>TariffRandValues20232024!L37*'Tariff SUMMARY 26-27'!$F$3+TariffRandValues20232024!L37</f>
        <v>1295831.215003456</v>
      </c>
      <c r="M37" s="603">
        <f>TariffRandValues20232024!M37*'Tariff SUMMARY 26-27'!$F$3+TariffRandValues20232024!M37</f>
        <v>1369750.8353004907</v>
      </c>
      <c r="N37" s="603">
        <f>TariffRandValues20232024!N37*'Tariff SUMMARY 26-27'!$F$3+TariffRandValues20232024!N37</f>
        <v>1335952.1275676084</v>
      </c>
      <c r="O37" s="603">
        <f>TariffRandValues20232024!O37*'Tariff SUMMARY 26-27'!$F$3+TariffRandValues20232024!O37</f>
        <v>1268708.3832869364</v>
      </c>
      <c r="P37" s="603">
        <f>TariffRandValues20232024!P37*'Tariff SUMMARY 26-27'!$F$3+TariffRandValues20232024!P37</f>
        <v>1127755.7905271994</v>
      </c>
      <c r="Q37" s="603">
        <f>TariffRandValues20232024!Q37*'Tariff SUMMARY 26-27'!$F$3+TariffRandValues20232024!Q37</f>
        <v>1350742.8135465584</v>
      </c>
      <c r="R37" s="603">
        <f>TariffRandValues20232024!R37*'Tariff SUMMARY 26-27'!$F$3+TariffRandValues20232024!R37</f>
        <v>1364674.3305348684</v>
      </c>
      <c r="S37" s="603">
        <f>TariffRandValues20232024!S37*'Tariff SUMMARY 26-27'!$F$3+TariffRandValues20232024!S37</f>
        <v>1328943.8538208951</v>
      </c>
      <c r="T37" s="603">
        <f>TariffRandValues20232024!T37*'Tariff SUMMARY 26-27'!$F$3+TariffRandValues20232024!T37</f>
        <v>1387483.9693023581</v>
      </c>
      <c r="U37" s="603">
        <f>TariffRandValues20232024!U37*'Tariff SUMMARY 26-27'!$F$3+TariffRandValues20232024!U37</f>
        <v>2097060.4997949521</v>
      </c>
      <c r="V37" s="605">
        <f>SUM(L37:T37)</f>
        <v>11829843.31889037</v>
      </c>
      <c r="W37" s="605">
        <f>U37+J37+K37</f>
        <v>6288380.3840303216</v>
      </c>
    </row>
    <row r="38" spans="1:24" x14ac:dyDescent="0.35">
      <c r="A38" s="311" t="s">
        <v>398</v>
      </c>
      <c r="B38" s="311" t="s">
        <v>390</v>
      </c>
      <c r="C38" s="311" t="s">
        <v>863</v>
      </c>
      <c r="D38" s="311" t="s">
        <v>866</v>
      </c>
      <c r="E38" s="245" t="s">
        <v>870</v>
      </c>
      <c r="F38" s="245" t="s">
        <v>873</v>
      </c>
      <c r="I38" s="604">
        <f>SUM(J38:U38)</f>
        <v>26701219.471026167</v>
      </c>
      <c r="J38" s="603">
        <f>TariffRandValues20232024!J38*'Tariff SUMMARY 26-27'!$F$3+TariffRandValues20232024!J38</f>
        <v>3339883.0404985719</v>
      </c>
      <c r="K38" s="603">
        <f>TariffRandValues20232024!K38*'Tariff SUMMARY 26-27'!$F$3+TariffRandValues20232024!K38</f>
        <v>2995966.2447018581</v>
      </c>
      <c r="L38" s="603">
        <f>TariffRandValues20232024!L38*'Tariff SUMMARY 26-27'!$F$3+TariffRandValues20232024!L38</f>
        <v>1848551.9361389452</v>
      </c>
      <c r="M38" s="603">
        <f>TariffRandValues20232024!M38*'Tariff SUMMARY 26-27'!$F$3+TariffRandValues20232024!M38</f>
        <v>2019715.8117604482</v>
      </c>
      <c r="N38" s="603">
        <f>TariffRandValues20232024!N38*'Tariff SUMMARY 26-27'!$F$3+TariffRandValues20232024!N38</f>
        <v>1948862.3451211583</v>
      </c>
      <c r="O38" s="603">
        <f>TariffRandValues20232024!O38*'Tariff SUMMARY 26-27'!$F$3+TariffRandValues20232024!O38</f>
        <v>1855171.8955489632</v>
      </c>
      <c r="P38" s="603">
        <f>TariffRandValues20232024!P38*'Tariff SUMMARY 26-27'!$F$3+TariffRandValues20232024!P38</f>
        <v>1689411.6981567161</v>
      </c>
      <c r="Q38" s="603">
        <f>TariffRandValues20232024!Q38*'Tariff SUMMARY 26-27'!$F$3+TariffRandValues20232024!Q38</f>
        <v>1978239.0830055545</v>
      </c>
      <c r="R38" s="603">
        <f>TariffRandValues20232024!R38*'Tariff SUMMARY 26-27'!$F$3+TariffRandValues20232024!R38</f>
        <v>1796395.4714119704</v>
      </c>
      <c r="S38" s="603">
        <f>TariffRandValues20232024!S38*'Tariff SUMMARY 26-27'!$F$3+TariffRandValues20232024!S38</f>
        <v>1845265.3199573727</v>
      </c>
      <c r="T38" s="603">
        <f>TariffRandValues20232024!T38*'Tariff SUMMARY 26-27'!$F$3+TariffRandValues20232024!T38</f>
        <v>2036796.6408349061</v>
      </c>
      <c r="U38" s="603">
        <f>TariffRandValues20232024!U38*'Tariff SUMMARY 26-27'!$F$3+TariffRandValues20232024!U38</f>
        <v>3346959.9838897064</v>
      </c>
      <c r="V38" s="605">
        <f>SUM(L38:T38)</f>
        <v>17018410.201936033</v>
      </c>
      <c r="W38" s="605">
        <f>U38+J38+K38</f>
        <v>9682809.2690901365</v>
      </c>
    </row>
    <row r="39" spans="1:24" x14ac:dyDescent="0.35">
      <c r="A39" s="311" t="s">
        <v>394</v>
      </c>
      <c r="B39" s="311" t="s">
        <v>386</v>
      </c>
      <c r="C39" s="311" t="s">
        <v>865</v>
      </c>
      <c r="D39" s="311" t="s">
        <v>868</v>
      </c>
      <c r="E39" s="245" t="s">
        <v>872</v>
      </c>
      <c r="F39" s="245" t="s">
        <v>869</v>
      </c>
      <c r="I39" s="604">
        <f>SUM(J39:U39)</f>
        <v>20314995.638596978</v>
      </c>
      <c r="J39" s="603">
        <f>TariffRandValues20232024!J39*'Tariff SUMMARY 26-27'!$F$3+TariffRandValues20232024!J39</f>
        <v>1912457.6901043451</v>
      </c>
      <c r="K39" s="603">
        <f>TariffRandValues20232024!K39*'Tariff SUMMARY 26-27'!$F$3+TariffRandValues20232024!K39</f>
        <v>2186867.2759463983</v>
      </c>
      <c r="L39" s="603">
        <f>TariffRandValues20232024!L39*'Tariff SUMMARY 26-27'!$F$3+TariffRandValues20232024!L39</f>
        <v>1519978.1677747334</v>
      </c>
      <c r="M39" s="603">
        <f>TariffRandValues20232024!M39*'Tariff SUMMARY 26-27'!$F$3+TariffRandValues20232024!M39</f>
        <v>1532086.9387965368</v>
      </c>
      <c r="N39" s="603">
        <f>TariffRandValues20232024!N39*'Tariff SUMMARY 26-27'!$F$3+TariffRandValues20232024!N39</f>
        <v>1578235.3880126819</v>
      </c>
      <c r="O39" s="603">
        <f>TariffRandValues20232024!O39*'Tariff SUMMARY 26-27'!$F$3+TariffRandValues20232024!O39</f>
        <v>1702521.3049785534</v>
      </c>
      <c r="P39" s="603">
        <f>TariffRandValues20232024!P39*'Tariff SUMMARY 26-27'!$F$3+TariffRandValues20232024!P39</f>
        <v>1557638.1325949591</v>
      </c>
      <c r="Q39" s="603">
        <f>TariffRandValues20232024!Q39*'Tariff SUMMARY 26-27'!$F$3+TariffRandValues20232024!Q39</f>
        <v>1500470.2279624243</v>
      </c>
      <c r="R39" s="603">
        <f>TariffRandValues20232024!R39*'Tariff SUMMARY 26-27'!$F$3+TariffRandValues20232024!R39</f>
        <v>1464253.3612290984</v>
      </c>
      <c r="S39" s="603">
        <f>TariffRandValues20232024!S39*'Tariff SUMMARY 26-27'!$F$3+TariffRandValues20232024!S39</f>
        <v>1607458.2800153922</v>
      </c>
      <c r="T39" s="603">
        <f>TariffRandValues20232024!T39*'Tariff SUMMARY 26-27'!$F$3+TariffRandValues20232024!T39</f>
        <v>1572914.224071959</v>
      </c>
      <c r="U39" s="603">
        <f>TariffRandValues20232024!U39*'Tariff SUMMARY 26-27'!$F$3+TariffRandValues20232024!U39</f>
        <v>2180114.6471098955</v>
      </c>
      <c r="V39" s="605">
        <f>SUM(L39:T39)</f>
        <v>14035556.025436338</v>
      </c>
      <c r="W39" s="605">
        <f>U39+J39+K39</f>
        <v>6279439.6131606391</v>
      </c>
    </row>
    <row r="40" spans="1:24" s="330" customFormat="1" x14ac:dyDescent="0.35">
      <c r="A40" s="329" t="s">
        <v>254</v>
      </c>
      <c r="I40" s="601">
        <f>SUM(I41:I46)</f>
        <v>133858755.22919631</v>
      </c>
      <c r="J40" s="610"/>
      <c r="K40" s="610"/>
      <c r="L40" s="610"/>
      <c r="M40" s="610"/>
      <c r="N40" s="610"/>
      <c r="O40" s="610"/>
      <c r="P40" s="610"/>
      <c r="Q40" s="610"/>
      <c r="R40" s="610"/>
      <c r="S40" s="610"/>
      <c r="T40" s="610"/>
      <c r="U40" s="610"/>
      <c r="V40" s="603">
        <f>+V39+V38+V37+V36</f>
        <v>47386072.687288888</v>
      </c>
      <c r="W40" s="603">
        <f>+W39+W38+W37+W36</f>
        <v>23751383.646623146</v>
      </c>
      <c r="X40" s="330">
        <f>+W40+V40</f>
        <v>71137456.33391203</v>
      </c>
    </row>
    <row r="41" spans="1:24" x14ac:dyDescent="0.35">
      <c r="A41" s="311" t="s">
        <v>256</v>
      </c>
      <c r="B41" s="311" t="s">
        <v>256</v>
      </c>
      <c r="C41" s="311" t="s">
        <v>862</v>
      </c>
      <c r="D41" s="328" t="s">
        <v>1382</v>
      </c>
      <c r="E41" s="245" t="s">
        <v>862</v>
      </c>
      <c r="F41" s="245" t="s">
        <v>862</v>
      </c>
      <c r="I41" s="604">
        <f t="shared" ref="I41:I46" si="0">SUM(J41:U41)</f>
        <v>195556.50195397457</v>
      </c>
      <c r="J41" s="638">
        <v>16296.375162831213</v>
      </c>
      <c r="K41" s="638">
        <v>16296.375162831213</v>
      </c>
      <c r="L41" s="638">
        <v>16296.375162831213</v>
      </c>
      <c r="M41" s="638">
        <v>16296.375162831213</v>
      </c>
      <c r="N41" s="638">
        <v>16296.375162831213</v>
      </c>
      <c r="O41" s="638">
        <v>16296.375162831213</v>
      </c>
      <c r="P41" s="638">
        <v>16296.375162831213</v>
      </c>
      <c r="Q41" s="638">
        <v>16296.375162831213</v>
      </c>
      <c r="R41" s="638">
        <v>16296.375162831213</v>
      </c>
      <c r="S41" s="638">
        <v>16296.375162831213</v>
      </c>
      <c r="T41" s="638">
        <v>16296.375162831213</v>
      </c>
      <c r="U41" s="638">
        <v>16296.375162831213</v>
      </c>
      <c r="V41" s="605">
        <f t="shared" ref="V41:V46" si="1">SUM(L41:T41)</f>
        <v>146667.37646548092</v>
      </c>
      <c r="W41" s="605">
        <f t="shared" ref="W41:W46" si="2">U41+J41+K41</f>
        <v>48889.125488493635</v>
      </c>
    </row>
    <row r="42" spans="1:24" x14ac:dyDescent="0.35">
      <c r="A42" s="311" t="s">
        <v>256</v>
      </c>
      <c r="B42" s="311" t="s">
        <v>256</v>
      </c>
      <c r="C42" s="311" t="s">
        <v>862</v>
      </c>
      <c r="D42" s="311" t="s">
        <v>862</v>
      </c>
      <c r="E42" s="245" t="s">
        <v>862</v>
      </c>
      <c r="F42" s="245" t="s">
        <v>862</v>
      </c>
      <c r="I42" s="604">
        <f t="shared" si="0"/>
        <v>13401403.199453687</v>
      </c>
      <c r="J42" s="603">
        <f>TariffRandValues20232024!J42*'Tariff SUMMARY 26-27'!$F$3+TariffRandValues20232024!J42</f>
        <v>974456.7142914813</v>
      </c>
      <c r="K42" s="603">
        <f>TariffRandValues20232024!K42*'Tariff SUMMARY 26-27'!$F$3+TariffRandValues20232024!K42</f>
        <v>974456.7142914813</v>
      </c>
      <c r="L42" s="603">
        <f>TariffRandValues20232024!L42*'Tariff SUMMARY 26-27'!$F$3+TariffRandValues20232024!L42</f>
        <v>1299273.744209537</v>
      </c>
      <c r="M42" s="603">
        <f>TariffRandValues20232024!M42*'Tariff SUMMARY 26-27'!$F$3+TariffRandValues20232024!M42</f>
        <v>1299273.744209537</v>
      </c>
      <c r="N42" s="603">
        <f>TariffRandValues20232024!N42*'Tariff SUMMARY 26-27'!$F$3+TariffRandValues20232024!N42</f>
        <v>1299273.744209537</v>
      </c>
      <c r="O42" s="603">
        <f>TariffRandValues20232024!O42*'Tariff SUMMARY 26-27'!$F$3+TariffRandValues20232024!O42</f>
        <v>1299273.744209537</v>
      </c>
      <c r="P42" s="603">
        <f>TariffRandValues20232024!P42*'Tariff SUMMARY 26-27'!$F$3+TariffRandValues20232024!P42</f>
        <v>1299273.744209537</v>
      </c>
      <c r="Q42" s="603">
        <f>TariffRandValues20232024!Q42*'Tariff SUMMARY 26-27'!$F$3+TariffRandValues20232024!Q42</f>
        <v>985850.15204508626</v>
      </c>
      <c r="R42" s="603">
        <f>TariffRandValues20232024!R42*'Tariff SUMMARY 26-27'!$F$3+TariffRandValues20232024!R42</f>
        <v>950496.18533129233</v>
      </c>
      <c r="S42" s="603">
        <f>TariffRandValues20232024!S42*'Tariff SUMMARY 26-27'!$F$3+TariffRandValues20232024!S42</f>
        <v>953786.53966033214</v>
      </c>
      <c r="T42" s="603">
        <f>TariffRandValues20232024!T42*'Tariff SUMMARY 26-27'!$F$3+TariffRandValues20232024!T42</f>
        <v>991508.43658357207</v>
      </c>
      <c r="U42" s="603">
        <f>TariffRandValues20232024!U42*'Tariff SUMMARY 26-27'!$F$3+TariffRandValues20232024!U42</f>
        <v>1074479.7362027557</v>
      </c>
      <c r="V42" s="605">
        <f t="shared" si="1"/>
        <v>10378010.034667969</v>
      </c>
      <c r="W42" s="605">
        <f t="shared" si="2"/>
        <v>3023393.1647857185</v>
      </c>
    </row>
    <row r="43" spans="1:24" x14ac:dyDescent="0.35">
      <c r="A43" s="311" t="s">
        <v>257</v>
      </c>
      <c r="B43" s="311" t="s">
        <v>257</v>
      </c>
      <c r="C43" s="311" t="s">
        <v>861</v>
      </c>
      <c r="D43" s="328" t="s">
        <v>1385</v>
      </c>
      <c r="E43" s="245" t="s">
        <v>861</v>
      </c>
      <c r="F43" s="245" t="s">
        <v>861</v>
      </c>
      <c r="I43" s="604">
        <f t="shared" si="0"/>
        <v>26883758.000129253</v>
      </c>
      <c r="J43" s="603">
        <f>TariffRandValues20232024!J43*'Tariff SUMMARY 26-27'!$F$3+TariffRandValues20232024!J43</f>
        <v>2632984.0457987124</v>
      </c>
      <c r="K43" s="603">
        <f>TariffRandValues20232024!K43*'Tariff SUMMARY 26-27'!$F$3+TariffRandValues20232024!K43</f>
        <v>2448013.95801087</v>
      </c>
      <c r="L43" s="603">
        <f>TariffRandValues20232024!L43*'Tariff SUMMARY 26-27'!$F$3+TariffRandValues20232024!L43</f>
        <v>2560646.0178504977</v>
      </c>
      <c r="M43" s="603">
        <f>TariffRandValues20232024!M43*'Tariff SUMMARY 26-27'!$F$3+TariffRandValues20232024!M43</f>
        <v>2166676.7638686146</v>
      </c>
      <c r="N43" s="603">
        <f>TariffRandValues20232024!N43*'Tariff SUMMARY 26-27'!$F$3+TariffRandValues20232024!N43</f>
        <v>2146681.2685303837</v>
      </c>
      <c r="O43" s="603">
        <f>TariffRandValues20232024!O43*'Tariff SUMMARY 26-27'!$F$3+TariffRandValues20232024!O43</f>
        <v>2020276.5079560867</v>
      </c>
      <c r="P43" s="603">
        <f>TariffRandValues20232024!P43*'Tariff SUMMARY 26-27'!$F$3+TariffRandValues20232024!P43</f>
        <v>1948309.4442537609</v>
      </c>
      <c r="Q43" s="603">
        <f>TariffRandValues20232024!Q43*'Tariff SUMMARY 26-27'!$F$3+TariffRandValues20232024!Q43</f>
        <v>1912858.8469530293</v>
      </c>
      <c r="R43" s="603">
        <f>TariffRandValues20232024!R43*'Tariff SUMMARY 26-27'!$F$3+TariffRandValues20232024!R43</f>
        <v>1893553.031621238</v>
      </c>
      <c r="S43" s="603">
        <f>TariffRandValues20232024!S43*'Tariff SUMMARY 26-27'!$F$3+TariffRandValues20232024!S43</f>
        <v>1895392.1783050783</v>
      </c>
      <c r="T43" s="603">
        <f>TariffRandValues20232024!T43*'Tariff SUMMARY 26-27'!$F$3+TariffRandValues20232024!T43</f>
        <v>2436869.3560886211</v>
      </c>
      <c r="U43" s="603">
        <f>TariffRandValues20232024!U43*'Tariff SUMMARY 26-27'!$F$3+TariffRandValues20232024!U43</f>
        <v>2821496.5808923598</v>
      </c>
      <c r="V43" s="605">
        <f t="shared" si="1"/>
        <v>18981263.415427309</v>
      </c>
      <c r="W43" s="605">
        <f t="shared" si="2"/>
        <v>7902494.5847019423</v>
      </c>
    </row>
    <row r="44" spans="1:24" x14ac:dyDescent="0.35">
      <c r="A44" s="311" t="s">
        <v>435</v>
      </c>
      <c r="B44" s="311" t="s">
        <v>258</v>
      </c>
      <c r="C44" s="311" t="s">
        <v>857</v>
      </c>
      <c r="D44" s="311" t="s">
        <v>859</v>
      </c>
      <c r="E44" s="245" t="s">
        <v>857</v>
      </c>
      <c r="F44" s="245" t="s">
        <v>859</v>
      </c>
      <c r="I44" s="604">
        <f t="shared" si="0"/>
        <v>24672460.189231396</v>
      </c>
      <c r="J44" s="603">
        <f>TariffRandValues20232024!J44*'Tariff SUMMARY 26-27'!$F$3+TariffRandValues20232024!J44</f>
        <v>3935244.7053450868</v>
      </c>
      <c r="K44" s="603">
        <f>TariffRandValues20232024!K44*'Tariff SUMMARY 26-27'!$F$3+TariffRandValues20232024!K44</f>
        <v>3609960.823335784</v>
      </c>
      <c r="L44" s="603">
        <f>TariffRandValues20232024!L44*'Tariff SUMMARY 26-27'!$F$3+TariffRandValues20232024!L44</f>
        <v>1900125.6348697213</v>
      </c>
      <c r="M44" s="603">
        <f>TariffRandValues20232024!M44*'Tariff SUMMARY 26-27'!$F$3+TariffRandValues20232024!M44</f>
        <v>1702085.2853282159</v>
      </c>
      <c r="N44" s="603">
        <f>TariffRandValues20232024!N44*'Tariff SUMMARY 26-27'!$F$3+TariffRandValues20232024!N44</f>
        <v>1646796.7082083621</v>
      </c>
      <c r="O44" s="603">
        <f>TariffRandValues20232024!O44*'Tariff SUMMARY 26-27'!$F$3+TariffRandValues20232024!O44</f>
        <v>1185955.8037547804</v>
      </c>
      <c r="P44" s="603">
        <f>TariffRandValues20232024!P44*'Tariff SUMMARY 26-27'!$F$3+TariffRandValues20232024!P44</f>
        <v>1292032.3433305987</v>
      </c>
      <c r="Q44" s="603">
        <f>TariffRandValues20232024!Q44*'Tariff SUMMARY 26-27'!$F$3+TariffRandValues20232024!Q44</f>
        <v>1243734.2247625282</v>
      </c>
      <c r="R44" s="603">
        <f>TariffRandValues20232024!R44*'Tariff SUMMARY 26-27'!$F$3+TariffRandValues20232024!R44</f>
        <v>1215706.3377786507</v>
      </c>
      <c r="S44" s="603">
        <f>TariffRandValues20232024!S44*'Tariff SUMMARY 26-27'!$F$3+TariffRandValues20232024!S44</f>
        <v>1343685.2044790366</v>
      </c>
      <c r="T44" s="603">
        <f>TariffRandValues20232024!T44*'Tariff SUMMARY 26-27'!$F$3+TariffRandValues20232024!T44</f>
        <v>1780138.9197178707</v>
      </c>
      <c r="U44" s="603">
        <f>TariffRandValues20232024!U44*'Tariff SUMMARY 26-27'!$F$3+TariffRandValues20232024!U44</f>
        <v>3816994.1983207637</v>
      </c>
      <c r="V44" s="605">
        <f t="shared" si="1"/>
        <v>13310260.462229764</v>
      </c>
      <c r="W44" s="605">
        <f t="shared" si="2"/>
        <v>11362199.727001633</v>
      </c>
    </row>
    <row r="45" spans="1:24" x14ac:dyDescent="0.35">
      <c r="A45" s="311" t="s">
        <v>438</v>
      </c>
      <c r="B45" s="311" t="s">
        <v>259</v>
      </c>
      <c r="C45" s="311" t="s">
        <v>856</v>
      </c>
      <c r="D45" s="311" t="s">
        <v>858</v>
      </c>
      <c r="E45" s="245" t="s">
        <v>856</v>
      </c>
      <c r="F45" s="245" t="s">
        <v>858</v>
      </c>
      <c r="I45" s="604">
        <f t="shared" si="0"/>
        <v>34582715.538359061</v>
      </c>
      <c r="J45" s="603">
        <f>TariffRandValues20232024!J45*'Tariff SUMMARY 26-27'!$F$3+TariffRandValues20232024!J45</f>
        <v>4774351.1651753793</v>
      </c>
      <c r="K45" s="603">
        <f>TariffRandValues20232024!K45*'Tariff SUMMARY 26-27'!$F$3+TariffRandValues20232024!K45</f>
        <v>4412743.0376755083</v>
      </c>
      <c r="L45" s="603">
        <f>TariffRandValues20232024!L45*'Tariff SUMMARY 26-27'!$F$3+TariffRandValues20232024!L45</f>
        <v>2758124.1107467306</v>
      </c>
      <c r="M45" s="603">
        <f>TariffRandValues20232024!M45*'Tariff SUMMARY 26-27'!$F$3+TariffRandValues20232024!M45</f>
        <v>2532675.9139040997</v>
      </c>
      <c r="N45" s="603">
        <f>TariffRandValues20232024!N45*'Tariff SUMMARY 26-27'!$F$3+TariffRandValues20232024!N45</f>
        <v>2482438.5045176204</v>
      </c>
      <c r="O45" s="603">
        <f>TariffRandValues20232024!O45*'Tariff SUMMARY 26-27'!$F$3+TariffRandValues20232024!O45</f>
        <v>1815971.1437437797</v>
      </c>
      <c r="P45" s="603">
        <f>TariffRandValues20232024!P45*'Tariff SUMMARY 26-27'!$F$3+TariffRandValues20232024!P45</f>
        <v>1998031.2690015121</v>
      </c>
      <c r="Q45" s="603">
        <f>TariffRandValues20232024!Q45*'Tariff SUMMARY 26-27'!$F$3+TariffRandValues20232024!Q45</f>
        <v>1940838.258407112</v>
      </c>
      <c r="R45" s="603">
        <f>TariffRandValues20232024!R45*'Tariff SUMMARY 26-27'!$F$3+TariffRandValues20232024!R45</f>
        <v>2266793.7604837567</v>
      </c>
      <c r="S45" s="603">
        <f>TariffRandValues20232024!S45*'Tariff SUMMARY 26-27'!$F$3+TariffRandValues20232024!S45</f>
        <v>2109786.3097454612</v>
      </c>
      <c r="T45" s="603">
        <f>TariffRandValues20232024!T45*'Tariff SUMMARY 26-27'!$F$3+TariffRandValues20232024!T45</f>
        <v>2746470.083023258</v>
      </c>
      <c r="U45" s="603">
        <f>TariffRandValues20232024!U45*'Tariff SUMMARY 26-27'!$F$3+TariffRandValues20232024!U45</f>
        <v>4744491.9819348464</v>
      </c>
      <c r="V45" s="605">
        <f t="shared" si="1"/>
        <v>20651129.35357333</v>
      </c>
      <c r="W45" s="605">
        <f t="shared" si="2"/>
        <v>13931586.184785735</v>
      </c>
    </row>
    <row r="46" spans="1:24" x14ac:dyDescent="0.35">
      <c r="A46" s="311" t="s">
        <v>491</v>
      </c>
      <c r="B46" s="311" t="s">
        <v>260</v>
      </c>
      <c r="C46" s="311" t="s">
        <v>490</v>
      </c>
      <c r="D46" s="311" t="s">
        <v>860</v>
      </c>
      <c r="E46" s="245" t="s">
        <v>490</v>
      </c>
      <c r="F46" s="245" t="s">
        <v>860</v>
      </c>
      <c r="I46" s="604">
        <f t="shared" si="0"/>
        <v>34122861.800068937</v>
      </c>
      <c r="J46" s="603">
        <f>TariffRandValues20232024!J46*'Tariff SUMMARY 26-27'!$F$3+TariffRandValues20232024!J46</f>
        <v>4487212.9839814082</v>
      </c>
      <c r="K46" s="603">
        <f>TariffRandValues20232024!K46*'Tariff SUMMARY 26-27'!$F$3+TariffRandValues20232024!K46</f>
        <v>4670294.1043403009</v>
      </c>
      <c r="L46" s="603">
        <f>TariffRandValues20232024!L46*'Tariff SUMMARY 26-27'!$F$3+TariffRandValues20232024!L46</f>
        <v>2642250.3918490889</v>
      </c>
      <c r="M46" s="603">
        <f>TariffRandValues20232024!M46*'Tariff SUMMARY 26-27'!$F$3+TariffRandValues20232024!M46</f>
        <v>2583001.8673096746</v>
      </c>
      <c r="N46" s="603">
        <f>TariffRandValues20232024!N46*'Tariff SUMMARY 26-27'!$F$3+TariffRandValues20232024!N46</f>
        <v>2276520.0729930783</v>
      </c>
      <c r="O46" s="603">
        <f>TariffRandValues20232024!O46*'Tariff SUMMARY 26-27'!$F$3+TariffRandValues20232024!O46</f>
        <v>2166145.0008383114</v>
      </c>
      <c r="P46" s="603">
        <f>TariffRandValues20232024!P46*'Tariff SUMMARY 26-27'!$F$3+TariffRandValues20232024!P46</f>
        <v>2132755.2728980402</v>
      </c>
      <c r="Q46" s="603">
        <f>TariffRandValues20232024!Q46*'Tariff SUMMARY 26-27'!$F$3+TariffRandValues20232024!Q46</f>
        <v>1686221.8673047954</v>
      </c>
      <c r="R46" s="603">
        <f>TariffRandValues20232024!R46*'Tariff SUMMARY 26-27'!$F$3+TariffRandValues20232024!R46</f>
        <v>2135557.5188588048</v>
      </c>
      <c r="S46" s="603">
        <f>TariffRandValues20232024!S46*'Tariff SUMMARY 26-27'!$F$3+TariffRandValues20232024!S46</f>
        <v>2191551.7648063488</v>
      </c>
      <c r="T46" s="603">
        <f>TariffRandValues20232024!T46*'Tariff SUMMARY 26-27'!$F$3+TariffRandValues20232024!T46</f>
        <v>2545835.1278909966</v>
      </c>
      <c r="U46" s="603">
        <f>TariffRandValues20232024!U46*'Tariff SUMMARY 26-27'!$F$3+TariffRandValues20232024!U46</f>
        <v>4605515.8269980894</v>
      </c>
      <c r="V46" s="605">
        <f t="shared" si="1"/>
        <v>20359838.884749141</v>
      </c>
      <c r="W46" s="605">
        <f t="shared" si="2"/>
        <v>13763022.915319797</v>
      </c>
    </row>
    <row r="47" spans="1:24" x14ac:dyDescent="0.35">
      <c r="A47" s="247" t="s">
        <v>261</v>
      </c>
      <c r="I47" s="601">
        <f>SUM(I48:I53)</f>
        <v>889352394.93153906</v>
      </c>
      <c r="J47" s="602"/>
      <c r="K47" s="602"/>
      <c r="L47" s="602"/>
      <c r="M47" s="602"/>
      <c r="N47" s="602"/>
      <c r="O47" s="602"/>
      <c r="P47" s="602"/>
      <c r="Q47" s="602"/>
      <c r="R47" s="602"/>
      <c r="S47" s="602"/>
      <c r="T47" s="602"/>
      <c r="U47" s="602"/>
      <c r="V47" s="603">
        <f>+V46+V45+V44+V43+V42+V41</f>
        <v>83827169.527112991</v>
      </c>
      <c r="W47" s="603">
        <f>+W46+W45+W44+W43+W42+W41</f>
        <v>50031585.702083319</v>
      </c>
      <c r="X47" s="245">
        <f>+W47+V47</f>
        <v>133858755.22919631</v>
      </c>
    </row>
    <row r="48" spans="1:24" x14ac:dyDescent="0.35">
      <c r="A48" s="311" t="s">
        <v>262</v>
      </c>
      <c r="B48" s="311" t="s">
        <v>262</v>
      </c>
      <c r="C48" s="311" t="s">
        <v>854</v>
      </c>
      <c r="D48" s="328" t="s">
        <v>1383</v>
      </c>
      <c r="E48" s="245" t="s">
        <v>854</v>
      </c>
      <c r="F48" s="245" t="s">
        <v>854</v>
      </c>
      <c r="I48" s="604">
        <f t="shared" ref="I48:I53" si="3">SUM(J48:U48)</f>
        <v>7429153.0102468403</v>
      </c>
      <c r="J48" s="638">
        <v>619096.08418723673</v>
      </c>
      <c r="K48" s="638">
        <v>619096.08418723673</v>
      </c>
      <c r="L48" s="638">
        <v>619096.08418723673</v>
      </c>
      <c r="M48" s="638">
        <v>619096.08418723673</v>
      </c>
      <c r="N48" s="638">
        <v>619096.08418723673</v>
      </c>
      <c r="O48" s="638">
        <v>619096.08418723673</v>
      </c>
      <c r="P48" s="638">
        <v>619096.08418723673</v>
      </c>
      <c r="Q48" s="638">
        <v>619096.08418723673</v>
      </c>
      <c r="R48" s="638">
        <v>619096.08418723673</v>
      </c>
      <c r="S48" s="638">
        <v>619096.08418723673</v>
      </c>
      <c r="T48" s="638">
        <v>619096.08418723673</v>
      </c>
      <c r="U48" s="638">
        <v>619096.08418723673</v>
      </c>
      <c r="V48" s="605">
        <f t="shared" ref="V48:V53" si="4">SUM(L48:T48)</f>
        <v>5571864.7576851305</v>
      </c>
      <c r="W48" s="605">
        <f t="shared" ref="W48:W53" si="5">U48+J48+K48</f>
        <v>1857288.2525617103</v>
      </c>
    </row>
    <row r="49" spans="1:24" x14ac:dyDescent="0.35">
      <c r="A49" s="311" t="s">
        <v>262</v>
      </c>
      <c r="B49" s="311" t="s">
        <v>262</v>
      </c>
      <c r="C49" s="311" t="s">
        <v>854</v>
      </c>
      <c r="D49" s="311" t="s">
        <v>854</v>
      </c>
      <c r="E49" s="245" t="s">
        <v>854</v>
      </c>
      <c r="F49" s="245" t="s">
        <v>854</v>
      </c>
      <c r="I49" s="604">
        <f t="shared" si="3"/>
        <v>84609900.56582433</v>
      </c>
      <c r="J49" s="603">
        <f>TariffRandValues20232024!J49*'Tariff SUMMARY 26-27'!$F$3+TariffRandValues20232024!J49</f>
        <v>7100355.7867259169</v>
      </c>
      <c r="K49" s="603">
        <f>TariffRandValues20232024!K49*'Tariff SUMMARY 26-27'!$F$3+TariffRandValues20232024!K49</f>
        <v>7073526.2028290806</v>
      </c>
      <c r="L49" s="603">
        <f>TariffRandValues20232024!L49*'Tariff SUMMARY 26-27'!$F$3+TariffRandValues20232024!L49</f>
        <v>7026730.4169625053</v>
      </c>
      <c r="M49" s="603">
        <f>TariffRandValues20232024!M49*'Tariff SUMMARY 26-27'!$F$3+TariffRandValues20232024!M49</f>
        <v>7039583.6594805252</v>
      </c>
      <c r="N49" s="603">
        <f>TariffRandValues20232024!N49*'Tariff SUMMARY 26-27'!$F$3+TariffRandValues20232024!N49</f>
        <v>7073401.4140667701</v>
      </c>
      <c r="O49" s="603">
        <f>TariffRandValues20232024!O49*'Tariff SUMMARY 26-27'!$F$3+TariffRandValues20232024!O49</f>
        <v>6993411.8174255053</v>
      </c>
      <c r="P49" s="603">
        <f>TariffRandValues20232024!P49*'Tariff SUMMARY 26-27'!$F$3+TariffRandValues20232024!P49</f>
        <v>6971074.6289718589</v>
      </c>
      <c r="Q49" s="603">
        <f>TariffRandValues20232024!Q49*'Tariff SUMMARY 26-27'!$F$3+TariffRandValues20232024!Q49</f>
        <v>7102601.9844475109</v>
      </c>
      <c r="R49" s="603">
        <f>TariffRandValues20232024!R49*'Tariff SUMMARY 26-27'!$F$3+TariffRandValues20232024!R49</f>
        <v>6971448.9952587914</v>
      </c>
      <c r="S49" s="603">
        <f>TariffRandValues20232024!S49*'Tariff SUMMARY 26-27'!$F$3+TariffRandValues20232024!S49</f>
        <v>7017995.2036007456</v>
      </c>
      <c r="T49" s="603">
        <f>TariffRandValues20232024!T49*'Tariff SUMMARY 26-27'!$F$3+TariffRandValues20232024!T49</f>
        <v>7092244.5171757098</v>
      </c>
      <c r="U49" s="603">
        <f>TariffRandValues20232024!U49*'Tariff SUMMARY 26-27'!$F$3+TariffRandValues20232024!U49</f>
        <v>7147525.9388794228</v>
      </c>
      <c r="V49" s="605">
        <f t="shared" si="4"/>
        <v>63288492.637389921</v>
      </c>
      <c r="W49" s="605">
        <f t="shared" si="5"/>
        <v>21321407.92843442</v>
      </c>
    </row>
    <row r="50" spans="1:24" x14ac:dyDescent="0.35">
      <c r="A50" s="311" t="s">
        <v>263</v>
      </c>
      <c r="B50" s="311" t="s">
        <v>263</v>
      </c>
      <c r="C50" s="311" t="s">
        <v>853</v>
      </c>
      <c r="D50" s="328" t="s">
        <v>1384</v>
      </c>
      <c r="E50" s="245" t="s">
        <v>853</v>
      </c>
      <c r="F50" s="245" t="s">
        <v>853</v>
      </c>
      <c r="I50" s="604">
        <f t="shared" si="3"/>
        <v>193385166.97593707</v>
      </c>
      <c r="J50" s="603">
        <f>TariffRandValues20232024!J50*'Tariff SUMMARY 26-27'!$F$3+TariffRandValues20232024!J50</f>
        <v>16524571.420142097</v>
      </c>
      <c r="K50" s="603">
        <f>TariffRandValues20232024!K50*'Tariff SUMMARY 26-27'!$F$3+TariffRandValues20232024!K50</f>
        <v>16093136.384703515</v>
      </c>
      <c r="L50" s="603">
        <f>TariffRandValues20232024!L50*'Tariff SUMMARY 26-27'!$F$3+TariffRandValues20232024!L50</f>
        <v>15838474.574146362</v>
      </c>
      <c r="M50" s="603">
        <f>TariffRandValues20232024!M50*'Tariff SUMMARY 26-27'!$F$3+TariffRandValues20232024!M50</f>
        <v>15837119.990047652</v>
      </c>
      <c r="N50" s="603">
        <f>TariffRandValues20232024!N50*'Tariff SUMMARY 26-27'!$F$3+TariffRandValues20232024!N50</f>
        <v>16413834.170072695</v>
      </c>
      <c r="O50" s="603">
        <f>TariffRandValues20232024!O50*'Tariff SUMMARY 26-27'!$F$3+TariffRandValues20232024!O50</f>
        <v>16021004.781447299</v>
      </c>
      <c r="P50" s="603">
        <f>TariffRandValues20232024!P50*'Tariff SUMMARY 26-27'!$F$3+TariffRandValues20232024!P50</f>
        <v>16237060.94519127</v>
      </c>
      <c r="Q50" s="603">
        <f>TariffRandValues20232024!Q50*'Tariff SUMMARY 26-27'!$F$3+TariffRandValues20232024!Q50</f>
        <v>16195068.838131312</v>
      </c>
      <c r="R50" s="603">
        <f>TariffRandValues20232024!R50*'Tariff SUMMARY 26-27'!$F$3+TariffRandValues20232024!R50</f>
        <v>16096522.844950285</v>
      </c>
      <c r="S50" s="603">
        <f>TariffRandValues20232024!S50*'Tariff SUMMARY 26-27'!$F$3+TariffRandValues20232024!S50</f>
        <v>15879450.743132286</v>
      </c>
      <c r="T50" s="603">
        <f>TariffRandValues20232024!T50*'Tariff SUMMARY 26-27'!$F$3+TariffRandValues20232024!T50</f>
        <v>15813076.122295581</v>
      </c>
      <c r="U50" s="603">
        <f>TariffRandValues20232024!U50*'Tariff SUMMARY 26-27'!$F$3+TariffRandValues20232024!U50</f>
        <v>16435846.161676703</v>
      </c>
      <c r="V50" s="628">
        <f t="shared" si="4"/>
        <v>144331613.00941476</v>
      </c>
      <c r="W50" s="605">
        <f t="shared" si="5"/>
        <v>49053553.966522314</v>
      </c>
    </row>
    <row r="51" spans="1:24" x14ac:dyDescent="0.35">
      <c r="A51" s="311" t="s">
        <v>423</v>
      </c>
      <c r="B51" s="311" t="s">
        <v>264</v>
      </c>
      <c r="C51" s="311" t="s">
        <v>849</v>
      </c>
      <c r="D51" s="311" t="s">
        <v>852</v>
      </c>
      <c r="E51" s="245" t="s">
        <v>849</v>
      </c>
      <c r="F51" s="245" t="s">
        <v>852</v>
      </c>
      <c r="I51" s="604">
        <f t="shared" si="3"/>
        <v>156123479.66577959</v>
      </c>
      <c r="J51" s="603">
        <f>TariffRandValues20232024!J51*'Tariff SUMMARY 26-27'!$F$3+TariffRandValues20232024!J51</f>
        <v>22538008.89409297</v>
      </c>
      <c r="K51" s="603">
        <f>TariffRandValues20232024!K51*'Tariff SUMMARY 26-27'!$F$3+TariffRandValues20232024!K51</f>
        <v>21555851.90854498</v>
      </c>
      <c r="L51" s="603">
        <f>TariffRandValues20232024!L51*'Tariff SUMMARY 26-27'!$F$3+TariffRandValues20232024!L51</f>
        <v>10098325.45838978</v>
      </c>
      <c r="M51" s="603">
        <f>TariffRandValues20232024!M51*'Tariff SUMMARY 26-27'!$F$3+TariffRandValues20232024!M51</f>
        <v>9925219.4374575447</v>
      </c>
      <c r="N51" s="603">
        <f>TariffRandValues20232024!N51*'Tariff SUMMARY 26-27'!$F$3+TariffRandValues20232024!N51</f>
        <v>10436881.619191783</v>
      </c>
      <c r="O51" s="603">
        <f>TariffRandValues20232024!O51*'Tariff SUMMARY 26-27'!$F$3+TariffRandValues20232024!O51</f>
        <v>9575587.9565352742</v>
      </c>
      <c r="P51" s="603">
        <f>TariffRandValues20232024!P51*'Tariff SUMMARY 26-27'!$F$3+TariffRandValues20232024!P51</f>
        <v>10016103.972167837</v>
      </c>
      <c r="Q51" s="603">
        <f>TariffRandValues20232024!Q51*'Tariff SUMMARY 26-27'!$F$3+TariffRandValues20232024!Q51</f>
        <v>10067367.385519421</v>
      </c>
      <c r="R51" s="603">
        <f>TariffRandValues20232024!R51*'Tariff SUMMARY 26-27'!$F$3+TariffRandValues20232024!R51</f>
        <v>10622263.813713605</v>
      </c>
      <c r="S51" s="603">
        <f>TariffRandValues20232024!S51*'Tariff SUMMARY 26-27'!$F$3+TariffRandValues20232024!S51</f>
        <v>9315478.1648903713</v>
      </c>
      <c r="T51" s="603">
        <f>TariffRandValues20232024!T51*'Tariff SUMMARY 26-27'!$F$3+TariffRandValues20232024!T51</f>
        <v>10212748.129724512</v>
      </c>
      <c r="U51" s="603">
        <f>TariffRandValues20232024!U51*'Tariff SUMMARY 26-27'!$F$3+TariffRandValues20232024!U51</f>
        <v>21759642.9255515</v>
      </c>
      <c r="V51" s="605">
        <f t="shared" si="4"/>
        <v>90269975.937590137</v>
      </c>
      <c r="W51" s="605">
        <f t="shared" si="5"/>
        <v>65853503.728189446</v>
      </c>
    </row>
    <row r="52" spans="1:24" x14ac:dyDescent="0.35">
      <c r="A52" s="311" t="s">
        <v>425</v>
      </c>
      <c r="B52" s="311" t="s">
        <v>265</v>
      </c>
      <c r="C52" s="311" t="s">
        <v>848</v>
      </c>
      <c r="D52" s="311" t="s">
        <v>851</v>
      </c>
      <c r="E52" s="245" t="s">
        <v>848</v>
      </c>
      <c r="F52" s="245" t="s">
        <v>851</v>
      </c>
      <c r="I52" s="604">
        <f t="shared" si="3"/>
        <v>234855021.39660019</v>
      </c>
      <c r="J52" s="603">
        <f>TariffRandValues20232024!J52*'Tariff SUMMARY 26-27'!$F$3+TariffRandValues20232024!J52</f>
        <v>28423810.515008915</v>
      </c>
      <c r="K52" s="603">
        <f>TariffRandValues20232024!K52*'Tariff SUMMARY 26-27'!$F$3+TariffRandValues20232024!K52</f>
        <v>27004823.745534845</v>
      </c>
      <c r="L52" s="603">
        <f>TariffRandValues20232024!L52*'Tariff SUMMARY 26-27'!$F$3+TariffRandValues20232024!L52</f>
        <v>16728069.459345888</v>
      </c>
      <c r="M52" s="603">
        <f>TariffRandValues20232024!M52*'Tariff SUMMARY 26-27'!$F$3+TariffRandValues20232024!M52</f>
        <v>16685077.832591308</v>
      </c>
      <c r="N52" s="603">
        <f>TariffRandValues20232024!N52*'Tariff SUMMARY 26-27'!$F$3+TariffRandValues20232024!N52</f>
        <v>17358011.945381075</v>
      </c>
      <c r="O52" s="603">
        <f>TariffRandValues20232024!O52*'Tariff SUMMARY 26-27'!$F$3+TariffRandValues20232024!O52</f>
        <v>16199822.926039927</v>
      </c>
      <c r="P52" s="603">
        <f>TariffRandValues20232024!P52*'Tariff SUMMARY 26-27'!$F$3+TariffRandValues20232024!P52</f>
        <v>17056412.204779733</v>
      </c>
      <c r="Q52" s="603">
        <f>TariffRandValues20232024!Q52*'Tariff SUMMARY 26-27'!$F$3+TariffRandValues20232024!Q52</f>
        <v>16954409.020501509</v>
      </c>
      <c r="R52" s="603">
        <f>TariffRandValues20232024!R52*'Tariff SUMMARY 26-27'!$F$3+TariffRandValues20232024!R52</f>
        <v>18132732.10135429</v>
      </c>
      <c r="S52" s="603">
        <f>TariffRandValues20232024!S52*'Tariff SUMMARY 26-27'!$F$3+TariffRandValues20232024!S52</f>
        <v>15943238.382395577</v>
      </c>
      <c r="T52" s="603">
        <f>TariffRandValues20232024!T52*'Tariff SUMMARY 26-27'!$F$3+TariffRandValues20232024!T52</f>
        <v>16859400.551489145</v>
      </c>
      <c r="U52" s="603">
        <f>TariffRandValues20232024!U52*'Tariff SUMMARY 26-27'!$F$3+TariffRandValues20232024!U52</f>
        <v>27509212.712177947</v>
      </c>
      <c r="V52" s="628">
        <f t="shared" si="4"/>
        <v>151917174.42387843</v>
      </c>
      <c r="W52" s="605">
        <f t="shared" si="5"/>
        <v>82937846.972721696</v>
      </c>
    </row>
    <row r="53" spans="1:24" x14ac:dyDescent="0.35">
      <c r="A53" s="311" t="s">
        <v>421</v>
      </c>
      <c r="B53" s="311" t="s">
        <v>266</v>
      </c>
      <c r="C53" s="311" t="s">
        <v>850</v>
      </c>
      <c r="D53" s="311" t="s">
        <v>855</v>
      </c>
      <c r="E53" s="245" t="s">
        <v>850</v>
      </c>
      <c r="F53" s="245" t="s">
        <v>855</v>
      </c>
      <c r="I53" s="604">
        <f t="shared" si="3"/>
        <v>212949673.31715107</v>
      </c>
      <c r="J53" s="603">
        <f>TariffRandValues20232024!J53*'Tariff SUMMARY 26-27'!$F$3+TariffRandValues20232024!J53</f>
        <v>24910600.541227829</v>
      </c>
      <c r="K53" s="603">
        <f>TariffRandValues20232024!K53*'Tariff SUMMARY 26-27'!$F$3+TariffRandValues20232024!K53</f>
        <v>26110946.350366727</v>
      </c>
      <c r="L53" s="603">
        <f>TariffRandValues20232024!L53*'Tariff SUMMARY 26-27'!$F$3+TariffRandValues20232024!L53</f>
        <v>14599267.666047452</v>
      </c>
      <c r="M53" s="603">
        <f>TariffRandValues20232024!M53*'Tariff SUMMARY 26-27'!$F$3+TariffRandValues20232024!M53</f>
        <v>15391508.673367381</v>
      </c>
      <c r="N53" s="603">
        <f>TariffRandValues20232024!N53*'Tariff SUMMARY 26-27'!$F$3+TariffRandValues20232024!N53</f>
        <v>14850580.904383857</v>
      </c>
      <c r="O53" s="603">
        <f>TariffRandValues20232024!O53*'Tariff SUMMARY 26-27'!$F$3+TariffRandValues20232024!O53</f>
        <v>15659617.719542373</v>
      </c>
      <c r="P53" s="603">
        <f>TariffRandValues20232024!P53*'Tariff SUMMARY 26-27'!$F$3+TariffRandValues20232024!P53</f>
        <v>15739486.495491477</v>
      </c>
      <c r="Q53" s="603">
        <f>TariffRandValues20232024!Q53*'Tariff SUMMARY 26-27'!$F$3+TariffRandValues20232024!Q53</f>
        <v>13983596.717243278</v>
      </c>
      <c r="R53" s="603">
        <f>TariffRandValues20232024!R53*'Tariff SUMMARY 26-27'!$F$3+TariffRandValues20232024!R53</f>
        <v>15005396.74225896</v>
      </c>
      <c r="S53" s="603">
        <f>TariffRandValues20232024!S53*'Tariff SUMMARY 26-27'!$F$3+TariffRandValues20232024!S53</f>
        <v>15954480.175581153</v>
      </c>
      <c r="T53" s="603">
        <f>TariffRandValues20232024!T53*'Tariff SUMMARY 26-27'!$F$3+TariffRandValues20232024!T53</f>
        <v>15855505.607539868</v>
      </c>
      <c r="U53" s="603">
        <f>TariffRandValues20232024!U53*'Tariff SUMMARY 26-27'!$F$3+TariffRandValues20232024!U53</f>
        <v>24888685.724100702</v>
      </c>
      <c r="V53" s="605">
        <f t="shared" si="4"/>
        <v>137039440.7014558</v>
      </c>
      <c r="W53" s="605">
        <f t="shared" si="5"/>
        <v>75910232.615695253</v>
      </c>
    </row>
    <row r="54" spans="1:24" x14ac:dyDescent="0.35">
      <c r="A54" s="247" t="s">
        <v>267</v>
      </c>
      <c r="I54" s="601">
        <f>SUM(I55:I60)</f>
        <v>437546925.13747472</v>
      </c>
      <c r="J54" s="602"/>
      <c r="K54" s="602"/>
      <c r="L54" s="602"/>
      <c r="M54" s="602"/>
      <c r="N54" s="602"/>
      <c r="O54" s="602"/>
      <c r="P54" s="602"/>
      <c r="Q54" s="602"/>
      <c r="R54" s="602"/>
      <c r="S54" s="602"/>
      <c r="T54" s="602"/>
      <c r="U54" s="602"/>
      <c r="V54" s="603">
        <f>+V53+V52+V51+V50+V49+V48</f>
        <v>592418561.46741426</v>
      </c>
      <c r="W54" s="603">
        <f>+W53+W52+W51+W50+W49+W48</f>
        <v>296933833.4641248</v>
      </c>
      <c r="X54" s="245">
        <f>+W54+V54</f>
        <v>889352394.93153906</v>
      </c>
    </row>
    <row r="55" spans="1:24" x14ac:dyDescent="0.35">
      <c r="A55" s="311" t="s">
        <v>268</v>
      </c>
      <c r="B55" s="311" t="s">
        <v>268</v>
      </c>
      <c r="C55" s="311" t="s">
        <v>847</v>
      </c>
      <c r="D55" s="328" t="s">
        <v>1386</v>
      </c>
      <c r="E55" s="245" t="s">
        <v>847</v>
      </c>
      <c r="F55" s="245" t="s">
        <v>847</v>
      </c>
      <c r="I55" s="604">
        <f t="shared" ref="I55:I60" si="6">SUM(J55:U55)</f>
        <v>19224668.839552384</v>
      </c>
      <c r="J55" s="638">
        <v>1602055.7366293655</v>
      </c>
      <c r="K55" s="638">
        <v>1602055.7366293655</v>
      </c>
      <c r="L55" s="638">
        <v>1602055.7366293655</v>
      </c>
      <c r="M55" s="638">
        <v>1602055.7366293655</v>
      </c>
      <c r="N55" s="638">
        <v>1602055.7366293655</v>
      </c>
      <c r="O55" s="638">
        <v>1602055.7366293655</v>
      </c>
      <c r="P55" s="638">
        <v>1602055.7366293655</v>
      </c>
      <c r="Q55" s="638">
        <v>1602055.7366293655</v>
      </c>
      <c r="R55" s="638">
        <v>1602055.7366293655</v>
      </c>
      <c r="S55" s="638">
        <v>1602055.7366293655</v>
      </c>
      <c r="T55" s="638">
        <v>1602055.7366293655</v>
      </c>
      <c r="U55" s="638">
        <v>1602055.7366293655</v>
      </c>
      <c r="V55" s="605">
        <f t="shared" ref="V55:V60" si="7">SUM(L55:T55)</f>
        <v>14418501.629664287</v>
      </c>
      <c r="W55" s="605">
        <f t="shared" ref="W55:W60" si="8">U55+J55+K55</f>
        <v>4806167.2098880969</v>
      </c>
    </row>
    <row r="56" spans="1:24" x14ac:dyDescent="0.35">
      <c r="A56" s="311" t="s">
        <v>268</v>
      </c>
      <c r="B56" s="311" t="s">
        <v>268</v>
      </c>
      <c r="C56" s="311" t="s">
        <v>847</v>
      </c>
      <c r="D56" s="311" t="s">
        <v>847</v>
      </c>
      <c r="E56" s="245" t="s">
        <v>847</v>
      </c>
      <c r="F56" s="245" t="s">
        <v>847</v>
      </c>
      <c r="I56" s="604">
        <f t="shared" si="6"/>
        <v>48749486.121388063</v>
      </c>
      <c r="J56" s="603">
        <f>TariffRandValues20232024!J56*'Tariff SUMMARY 26-27'!$F$3+TariffRandValues20232024!J56</f>
        <v>4734134.0331119411</v>
      </c>
      <c r="K56" s="603">
        <f>TariffRandValues20232024!K56*'Tariff SUMMARY 26-27'!$F$3+TariffRandValues20232024!K56</f>
        <v>4570336.2733702008</v>
      </c>
      <c r="L56" s="603">
        <f>TariffRandValues20232024!L56*'Tariff SUMMARY 26-27'!$F$3+TariffRandValues20232024!L56</f>
        <v>5062520.8461207515</v>
      </c>
      <c r="M56" s="603">
        <f>TariffRandValues20232024!M56*'Tariff SUMMARY 26-27'!$F$3+TariffRandValues20232024!M56</f>
        <v>3770118.0013987464</v>
      </c>
      <c r="N56" s="603">
        <f>TariffRandValues20232024!N56*'Tariff SUMMARY 26-27'!$F$3+TariffRandValues20232024!N56</f>
        <v>3914133.42300743</v>
      </c>
      <c r="O56" s="603">
        <f>TariffRandValues20232024!O56*'Tariff SUMMARY 26-27'!$F$3+TariffRandValues20232024!O56</f>
        <v>3760226.8323322167</v>
      </c>
      <c r="P56" s="603">
        <f>TariffRandValues20232024!P56*'Tariff SUMMARY 26-27'!$F$3+TariffRandValues20232024!P56</f>
        <v>3788713.3992438246</v>
      </c>
      <c r="Q56" s="603">
        <f>TariffRandValues20232024!Q56*'Tariff SUMMARY 26-27'!$F$3+TariffRandValues20232024!Q56</f>
        <v>3874568.7467413088</v>
      </c>
      <c r="R56" s="603">
        <f>TariffRandValues20232024!R56*'Tariff SUMMARY 26-27'!$F$3+TariffRandValues20232024!R56</f>
        <v>3771304.9416867299</v>
      </c>
      <c r="S56" s="603">
        <f>TariffRandValues20232024!S56*'Tariff SUMMARY 26-27'!$F$3+TariffRandValues20232024!S56</f>
        <v>3812847.8517661584</v>
      </c>
      <c r="T56" s="603">
        <f>TariffRandValues20232024!T56*'Tariff SUMMARY 26-27'!$F$3+TariffRandValues20232024!T56</f>
        <v>3844499.5927790552</v>
      </c>
      <c r="U56" s="603">
        <f>TariffRandValues20232024!U56*'Tariff SUMMARY 26-27'!$F$3+TariffRandValues20232024!U56</f>
        <v>3846082.1798297004</v>
      </c>
      <c r="V56" s="605">
        <f t="shared" si="7"/>
        <v>35598933.635076225</v>
      </c>
      <c r="W56" s="605">
        <f t="shared" si="8"/>
        <v>13150552.486311842</v>
      </c>
      <c r="X56" s="245" t="e">
        <f>+#REF!+#REF!</f>
        <v>#REF!</v>
      </c>
    </row>
    <row r="57" spans="1:24" x14ac:dyDescent="0.35">
      <c r="A57" s="311" t="s">
        <v>269</v>
      </c>
      <c r="B57" s="311" t="s">
        <v>269</v>
      </c>
      <c r="C57" s="311" t="s">
        <v>846</v>
      </c>
      <c r="D57" s="311" t="s">
        <v>846</v>
      </c>
      <c r="E57" s="245" t="s">
        <v>846</v>
      </c>
      <c r="F57" s="245" t="s">
        <v>846</v>
      </c>
      <c r="I57" s="604">
        <f t="shared" si="6"/>
        <v>97391582.119807497</v>
      </c>
      <c r="J57" s="603">
        <f>TariffRandValues20232024!J57*'Tariff SUMMARY 26-27'!$F$3+TariffRandValues20232024!J57</f>
        <v>8873371.9797031265</v>
      </c>
      <c r="K57" s="603">
        <f>TariffRandValues20232024!K57*'Tariff SUMMARY 26-27'!$F$3+TariffRandValues20232024!K57</f>
        <v>9632506.0197761208</v>
      </c>
      <c r="L57" s="603">
        <f>TariffRandValues20232024!L57*'Tariff SUMMARY 26-27'!$F$3+TariffRandValues20232024!L57</f>
        <v>9304072.4911475331</v>
      </c>
      <c r="M57" s="603">
        <f>TariffRandValues20232024!M57*'Tariff SUMMARY 26-27'!$F$3+TariffRandValues20232024!M57</f>
        <v>7622511.8134714747</v>
      </c>
      <c r="N57" s="603">
        <f>TariffRandValues20232024!N57*'Tariff SUMMARY 26-27'!$F$3+TariffRandValues20232024!N57</f>
        <v>8294074.3075955808</v>
      </c>
      <c r="O57" s="603">
        <f>TariffRandValues20232024!O57*'Tariff SUMMARY 26-27'!$F$3+TariffRandValues20232024!O57</f>
        <v>7491529.3766009863</v>
      </c>
      <c r="P57" s="603">
        <f>TariffRandValues20232024!P57*'Tariff SUMMARY 26-27'!$F$3+TariffRandValues20232024!P57</f>
        <v>7796785.0557483081</v>
      </c>
      <c r="Q57" s="603">
        <f>TariffRandValues20232024!Q57*'Tariff SUMMARY 26-27'!$F$3+TariffRandValues20232024!Q57</f>
        <v>8059859.9501407277</v>
      </c>
      <c r="R57" s="603">
        <f>TariffRandValues20232024!R57*'Tariff SUMMARY 26-27'!$F$3+TariffRandValues20232024!R57</f>
        <v>7475989.0874807602</v>
      </c>
      <c r="S57" s="603">
        <f>TariffRandValues20232024!S57*'Tariff SUMMARY 26-27'!$F$3+TariffRandValues20232024!S57</f>
        <v>7211804.1724368958</v>
      </c>
      <c r="T57" s="603">
        <f>TariffRandValues20232024!T57*'Tariff SUMMARY 26-27'!$F$3+TariffRandValues20232024!T57</f>
        <v>7586991.1526252404</v>
      </c>
      <c r="U57" s="603">
        <f>TariffRandValues20232024!U57*'Tariff SUMMARY 26-27'!$F$3+TariffRandValues20232024!U57</f>
        <v>8042086.7130807433</v>
      </c>
      <c r="V57" s="605">
        <f t="shared" si="7"/>
        <v>70843617.407247514</v>
      </c>
      <c r="W57" s="605">
        <f t="shared" si="8"/>
        <v>26547964.712559991</v>
      </c>
    </row>
    <row r="58" spans="1:24" x14ac:dyDescent="0.35">
      <c r="A58" s="311" t="s">
        <v>337</v>
      </c>
      <c r="B58" s="311" t="s">
        <v>330</v>
      </c>
      <c r="C58" s="311" t="s">
        <v>841</v>
      </c>
      <c r="D58" s="311" t="s">
        <v>844</v>
      </c>
      <c r="E58" s="245" t="s">
        <v>841</v>
      </c>
      <c r="F58" s="245" t="s">
        <v>844</v>
      </c>
      <c r="I58" s="604">
        <f t="shared" si="6"/>
        <v>80526963.462049782</v>
      </c>
      <c r="J58" s="603">
        <f>TariffRandValues20232024!J58*'Tariff SUMMARY 26-27'!$F$3+TariffRandValues20232024!J58</f>
        <v>10552402.486248922</v>
      </c>
      <c r="K58" s="603">
        <f>TariffRandValues20232024!K58*'Tariff SUMMARY 26-27'!$F$3+TariffRandValues20232024!K58</f>
        <v>9803859.2231980003</v>
      </c>
      <c r="L58" s="603">
        <f>TariffRandValues20232024!L58*'Tariff SUMMARY 26-27'!$F$3+TariffRandValues20232024!L58</f>
        <v>9478084.2210004535</v>
      </c>
      <c r="M58" s="603">
        <f>TariffRandValues20232024!M58*'Tariff SUMMARY 26-27'!$F$3+TariffRandValues20232024!M58</f>
        <v>9429507.9498182628</v>
      </c>
      <c r="N58" s="603">
        <f>TariffRandValues20232024!N58*'Tariff SUMMARY 26-27'!$F$3+TariffRandValues20232024!N58</f>
        <v>10796788.936039884</v>
      </c>
      <c r="O58" s="603">
        <f>TariffRandValues20232024!O58*'Tariff SUMMARY 26-27'!$F$3+TariffRandValues20232024!O58</f>
        <v>3536787.8242812199</v>
      </c>
      <c r="P58" s="603">
        <f>TariffRandValues20232024!P58*'Tariff SUMMARY 26-27'!$F$3+TariffRandValues20232024!P58</f>
        <v>3873042.2968805884</v>
      </c>
      <c r="Q58" s="603">
        <f>TariffRandValues20232024!Q58*'Tariff SUMMARY 26-27'!$F$3+TariffRandValues20232024!Q58</f>
        <v>3732001.1968227918</v>
      </c>
      <c r="R58" s="603">
        <f>TariffRandValues20232024!R58*'Tariff SUMMARY 26-27'!$F$3+TariffRandValues20232024!R58</f>
        <v>3949105.8733392498</v>
      </c>
      <c r="S58" s="603">
        <f>TariffRandValues20232024!S58*'Tariff SUMMARY 26-27'!$F$3+TariffRandValues20232024!S58</f>
        <v>3418491.6655005626</v>
      </c>
      <c r="T58" s="603">
        <f>TariffRandValues20232024!T58*'Tariff SUMMARY 26-27'!$F$3+TariffRandValues20232024!T58</f>
        <v>3906356.6158079938</v>
      </c>
      <c r="U58" s="603">
        <f>TariffRandValues20232024!U58*'Tariff SUMMARY 26-27'!$F$3+TariffRandValues20232024!U58</f>
        <v>8050535.1731118523</v>
      </c>
      <c r="V58" s="605">
        <f t="shared" si="7"/>
        <v>52120166.579491004</v>
      </c>
      <c r="W58" s="605">
        <f t="shared" si="8"/>
        <v>28406796.882558774</v>
      </c>
    </row>
    <row r="59" spans="1:24" x14ac:dyDescent="0.35">
      <c r="A59" s="311" t="s">
        <v>339</v>
      </c>
      <c r="B59" s="311" t="s">
        <v>332</v>
      </c>
      <c r="C59" s="311" t="s">
        <v>840</v>
      </c>
      <c r="D59" s="311" t="s">
        <v>843</v>
      </c>
      <c r="E59" s="245" t="s">
        <v>840</v>
      </c>
      <c r="F59" s="245" t="s">
        <v>843</v>
      </c>
      <c r="I59" s="604">
        <f t="shared" si="6"/>
        <v>104783766.84881774</v>
      </c>
      <c r="J59" s="603">
        <f>TariffRandValues20232024!J59*'Tariff SUMMARY 26-27'!$F$3+TariffRandValues20232024!J59</f>
        <v>11344683.886262299</v>
      </c>
      <c r="K59" s="603">
        <f>TariffRandValues20232024!K59*'Tariff SUMMARY 26-27'!$F$3+TariffRandValues20232024!K59</f>
        <v>11482069.288707804</v>
      </c>
      <c r="L59" s="603">
        <f>TariffRandValues20232024!L59*'Tariff SUMMARY 26-27'!$F$3+TariffRandValues20232024!L59</f>
        <v>11282347.735582288</v>
      </c>
      <c r="M59" s="603">
        <f>TariffRandValues20232024!M59*'Tariff SUMMARY 26-27'!$F$3+TariffRandValues20232024!M59</f>
        <v>9810860.6089848392</v>
      </c>
      <c r="N59" s="603">
        <f>TariffRandValues20232024!N59*'Tariff SUMMARY 26-27'!$F$3+TariffRandValues20232024!N59</f>
        <v>12436529.069421766</v>
      </c>
      <c r="O59" s="603">
        <f>TariffRandValues20232024!O59*'Tariff SUMMARY 26-27'!$F$3+TariffRandValues20232024!O59</f>
        <v>5883435.283629776</v>
      </c>
      <c r="P59" s="603">
        <f>TariffRandValues20232024!P59*'Tariff SUMMARY 26-27'!$F$3+TariffRandValues20232024!P59</f>
        <v>6562577.1416155854</v>
      </c>
      <c r="Q59" s="603">
        <f>TariffRandValues20232024!Q59*'Tariff SUMMARY 26-27'!$F$3+TariffRandValues20232024!Q59</f>
        <v>7378158.2823745934</v>
      </c>
      <c r="R59" s="603">
        <f>TariffRandValues20232024!R59*'Tariff SUMMARY 26-27'!$F$3+TariffRandValues20232024!R59</f>
        <v>6698950.1810082495</v>
      </c>
      <c r="S59" s="603">
        <f>TariffRandValues20232024!S59*'Tariff SUMMARY 26-27'!$F$3+TariffRandValues20232024!S59</f>
        <v>5761437.0578129897</v>
      </c>
      <c r="T59" s="603">
        <f>TariffRandValues20232024!T59*'Tariff SUMMARY 26-27'!$F$3+TariffRandValues20232024!T59</f>
        <v>6263120.2597238244</v>
      </c>
      <c r="U59" s="603">
        <f>TariffRandValues20232024!U59*'Tariff SUMMARY 26-27'!$F$3+TariffRandValues20232024!U59</f>
        <v>9879598.0536937136</v>
      </c>
      <c r="V59" s="605">
        <f t="shared" si="7"/>
        <v>72077415.620153904</v>
      </c>
      <c r="W59" s="605">
        <f t="shared" si="8"/>
        <v>32706351.228663817</v>
      </c>
    </row>
    <row r="60" spans="1:24" x14ac:dyDescent="0.35">
      <c r="A60" s="311" t="s">
        <v>335</v>
      </c>
      <c r="B60" s="311" t="s">
        <v>328</v>
      </c>
      <c r="C60" s="311" t="s">
        <v>842</v>
      </c>
      <c r="D60" s="311" t="s">
        <v>845</v>
      </c>
      <c r="E60" s="245" t="s">
        <v>842</v>
      </c>
      <c r="F60" s="245" t="s">
        <v>845</v>
      </c>
      <c r="I60" s="604">
        <f t="shared" si="6"/>
        <v>86870457.745859206</v>
      </c>
      <c r="J60" s="603">
        <f>TariffRandValues20232024!J60*'Tariff SUMMARY 26-27'!$F$3+TariffRandValues20232024!J60</f>
        <v>9868178.6175793633</v>
      </c>
      <c r="K60" s="603">
        <f>TariffRandValues20232024!K60*'Tariff SUMMARY 26-27'!$F$3+TariffRandValues20232024!K60</f>
        <v>9841034.9525347874</v>
      </c>
      <c r="L60" s="603">
        <f>TariffRandValues20232024!L60*'Tariff SUMMARY 26-27'!$F$3+TariffRandValues20232024!L60</f>
        <v>9641709.2825115304</v>
      </c>
      <c r="M60" s="603">
        <f>TariffRandValues20232024!M60*'Tariff SUMMARY 26-27'!$F$3+TariffRandValues20232024!M60</f>
        <v>9706534.1580367424</v>
      </c>
      <c r="N60" s="603">
        <f>TariffRandValues20232024!N60*'Tariff SUMMARY 26-27'!$F$3+TariffRandValues20232024!N60</f>
        <v>10306656.651670391</v>
      </c>
      <c r="O60" s="603">
        <f>TariffRandValues20232024!O60*'Tariff SUMMARY 26-27'!$F$3+TariffRandValues20232024!O60</f>
        <v>5198077.5988290077</v>
      </c>
      <c r="P60" s="603">
        <f>TariffRandValues20232024!P60*'Tariff SUMMARY 26-27'!$F$3+TariffRandValues20232024!P60</f>
        <v>5378099.8550253762</v>
      </c>
      <c r="Q60" s="603">
        <f>TariffRandValues20232024!Q60*'Tariff SUMMARY 26-27'!$F$3+TariffRandValues20232024!Q60</f>
        <v>4545981.9045151509</v>
      </c>
      <c r="R60" s="603">
        <f>TariffRandValues20232024!R60*'Tariff SUMMARY 26-27'!$F$3+TariffRandValues20232024!R60</f>
        <v>4739494.7963253427</v>
      </c>
      <c r="S60" s="603">
        <f>TariffRandValues20232024!S60*'Tariff SUMMARY 26-27'!$F$3+TariffRandValues20232024!S60</f>
        <v>4994795.8532027518</v>
      </c>
      <c r="T60" s="603">
        <f>TariffRandValues20232024!T60*'Tariff SUMMARY 26-27'!$F$3+TariffRandValues20232024!T60</f>
        <v>5036552.2688062778</v>
      </c>
      <c r="U60" s="603">
        <f>TariffRandValues20232024!U60*'Tariff SUMMARY 26-27'!$F$3+TariffRandValues20232024!U60</f>
        <v>7613341.8068224918</v>
      </c>
      <c r="V60" s="605">
        <f t="shared" si="7"/>
        <v>59547902.368922569</v>
      </c>
      <c r="W60" s="605">
        <f t="shared" si="8"/>
        <v>27322555.376936644</v>
      </c>
    </row>
    <row r="61" spans="1:24" x14ac:dyDescent="0.35">
      <c r="A61" s="247" t="s">
        <v>270</v>
      </c>
      <c r="I61" s="601">
        <f>SUM(I62:I66)</f>
        <v>73284530.951420978</v>
      </c>
      <c r="J61" s="602"/>
      <c r="K61" s="602"/>
      <c r="L61" s="602"/>
      <c r="M61" s="602"/>
      <c r="N61" s="602"/>
      <c r="O61" s="602"/>
      <c r="P61" s="602"/>
      <c r="Q61" s="602"/>
      <c r="R61" s="602"/>
      <c r="S61" s="602"/>
      <c r="T61" s="602"/>
      <c r="U61" s="602"/>
      <c r="V61" s="603">
        <f>+V60+V59+V58+V57+V56+V55</f>
        <v>304606537.24055552</v>
      </c>
      <c r="W61" s="603">
        <f>+W60+W59+W58+W57+W56+W55</f>
        <v>132940387.89691918</v>
      </c>
      <c r="X61" s="245">
        <f>+V61+W61</f>
        <v>437546925.13747472</v>
      </c>
    </row>
    <row r="62" spans="1:24" x14ac:dyDescent="0.35">
      <c r="A62" s="311" t="s">
        <v>520</v>
      </c>
      <c r="B62" s="311" t="s">
        <v>520</v>
      </c>
      <c r="C62" s="311" t="s">
        <v>519</v>
      </c>
      <c r="D62" s="328" t="s">
        <v>519</v>
      </c>
      <c r="E62" s="245" t="s">
        <v>519</v>
      </c>
      <c r="F62" s="245" t="s">
        <v>519</v>
      </c>
      <c r="I62" s="604">
        <f>SUM(J62:U62)</f>
        <v>2031028.686854691</v>
      </c>
      <c r="J62" s="638">
        <v>169252.39057122424</v>
      </c>
      <c r="K62" s="638">
        <v>169252.39057122424</v>
      </c>
      <c r="L62" s="638">
        <v>169252.39057122424</v>
      </c>
      <c r="M62" s="638">
        <v>169252.39057122424</v>
      </c>
      <c r="N62" s="638">
        <v>169252.39057122424</v>
      </c>
      <c r="O62" s="638">
        <v>169252.39057122424</v>
      </c>
      <c r="P62" s="638">
        <v>169252.39057122424</v>
      </c>
      <c r="Q62" s="638">
        <v>169252.39057122424</v>
      </c>
      <c r="R62" s="638">
        <v>169252.39057122424</v>
      </c>
      <c r="S62" s="638">
        <v>169252.39057122424</v>
      </c>
      <c r="T62" s="638">
        <v>169252.39057122424</v>
      </c>
      <c r="U62" s="638">
        <v>169252.39057122424</v>
      </c>
      <c r="V62" s="605">
        <f>SUM(L62:T62)</f>
        <v>1523271.5151410182</v>
      </c>
      <c r="W62" s="605">
        <f>U62+J62+K62</f>
        <v>507757.17171367269</v>
      </c>
    </row>
    <row r="63" spans="1:24" x14ac:dyDescent="0.35">
      <c r="A63" s="311" t="s">
        <v>518</v>
      </c>
      <c r="B63" s="311" t="s">
        <v>518</v>
      </c>
      <c r="C63" s="311" t="s">
        <v>517</v>
      </c>
      <c r="D63" s="311" t="s">
        <v>517</v>
      </c>
      <c r="E63" s="245" t="s">
        <v>517</v>
      </c>
      <c r="F63" s="245" t="s">
        <v>517</v>
      </c>
      <c r="I63" s="604">
        <f>SUM(J63:U63)</f>
        <v>2623875.4664045228</v>
      </c>
      <c r="J63" s="603">
        <f>TariffRandValues20232024!J63*'Tariff SUMMARY 26-27'!$F$3+TariffRandValues20232024!J63</f>
        <v>274788.33804034855</v>
      </c>
      <c r="K63" s="603">
        <f>TariffRandValues20232024!K63*'Tariff SUMMARY 26-27'!$F$3+TariffRandValues20232024!K63</f>
        <v>247387.79151210864</v>
      </c>
      <c r="L63" s="603">
        <f>TariffRandValues20232024!L63*'Tariff SUMMARY 26-27'!$F$3+TariffRandValues20232024!L63</f>
        <v>215862.43076273322</v>
      </c>
      <c r="M63" s="603">
        <f>TariffRandValues20232024!M63*'Tariff SUMMARY 26-27'!$F$3+TariffRandValues20232024!M63</f>
        <v>191668.45988080461</v>
      </c>
      <c r="N63" s="603">
        <f>TariffRandValues20232024!N63*'Tariff SUMMARY 26-27'!$F$3+TariffRandValues20232024!N63</f>
        <v>187612.8231433715</v>
      </c>
      <c r="O63" s="603">
        <f>TariffRandValues20232024!O63*'Tariff SUMMARY 26-27'!$F$3+TariffRandValues20232024!O63</f>
        <v>157750.2841318812</v>
      </c>
      <c r="P63" s="603">
        <f>TariffRandValues20232024!P63*'Tariff SUMMARY 26-27'!$F$3+TariffRandValues20232024!P63</f>
        <v>187107.38711945873</v>
      </c>
      <c r="Q63" s="603">
        <f>TariffRandValues20232024!Q63*'Tariff SUMMARY 26-27'!$F$3+TariffRandValues20232024!Q63</f>
        <v>201475.16185175837</v>
      </c>
      <c r="R63" s="603">
        <f>TariffRandValues20232024!R63*'Tariff SUMMARY 26-27'!$F$3+TariffRandValues20232024!R63</f>
        <v>197984.5737715782</v>
      </c>
      <c r="S63" s="603">
        <f>TariffRandValues20232024!S63*'Tariff SUMMARY 26-27'!$F$3+TariffRandValues20232024!S63</f>
        <v>200130.34604749631</v>
      </c>
      <c r="T63" s="603">
        <f>TariffRandValues20232024!T63*'Tariff SUMMARY 26-27'!$F$3+TariffRandValues20232024!T63</f>
        <v>254427.28414457632</v>
      </c>
      <c r="U63" s="603">
        <f>TariffRandValues20232024!U63*'Tariff SUMMARY 26-27'!$F$3+TariffRandValues20232024!U63</f>
        <v>307680.5859984071</v>
      </c>
      <c r="V63" s="605">
        <f>SUM(L63:T63)</f>
        <v>1794018.7508536589</v>
      </c>
      <c r="W63" s="605">
        <f>U63+J63+K63</f>
        <v>829856.71555086435</v>
      </c>
    </row>
    <row r="64" spans="1:24" x14ac:dyDescent="0.35">
      <c r="A64" s="311" t="s">
        <v>498</v>
      </c>
      <c r="B64" s="311" t="s">
        <v>503</v>
      </c>
      <c r="C64" s="311" t="s">
        <v>497</v>
      </c>
      <c r="D64" s="311" t="s">
        <v>502</v>
      </c>
      <c r="E64" s="245" t="s">
        <v>497</v>
      </c>
      <c r="F64" s="245" t="s">
        <v>502</v>
      </c>
      <c r="I64" s="604">
        <f>SUM(J64:U64)</f>
        <v>17906797.271426242</v>
      </c>
      <c r="J64" s="603">
        <f>TariffRandValues20232024!J64*'Tariff SUMMARY 26-27'!$F$3+TariffRandValues20232024!J64</f>
        <v>2458408.7247689478</v>
      </c>
      <c r="K64" s="603">
        <f>TariffRandValues20232024!K64*'Tariff SUMMARY 26-27'!$F$3+TariffRandValues20232024!K64</f>
        <v>2278157.9662579494</v>
      </c>
      <c r="L64" s="603">
        <f>TariffRandValues20232024!L64*'Tariff SUMMARY 26-27'!$F$3+TariffRandValues20232024!L64</f>
        <v>1315907.6304942125</v>
      </c>
      <c r="M64" s="603">
        <f>TariffRandValues20232024!M64*'Tariff SUMMARY 26-27'!$F$3+TariffRandValues20232024!M64</f>
        <v>1164023.0235031981</v>
      </c>
      <c r="N64" s="603">
        <f>TariffRandValues20232024!N64*'Tariff SUMMARY 26-27'!$F$3+TariffRandValues20232024!N64</f>
        <v>1133038.0667948993</v>
      </c>
      <c r="O64" s="603">
        <f>TariffRandValues20232024!O64*'Tariff SUMMARY 26-27'!$F$3+TariffRandValues20232024!O64</f>
        <v>918762.48717812018</v>
      </c>
      <c r="P64" s="603">
        <f>TariffRandValues20232024!P64*'Tariff SUMMARY 26-27'!$F$3+TariffRandValues20232024!P64</f>
        <v>1051929.7583835777</v>
      </c>
      <c r="Q64" s="603">
        <f>TariffRandValues20232024!Q64*'Tariff SUMMARY 26-27'!$F$3+TariffRandValues20232024!Q64</f>
        <v>1090481.7547840329</v>
      </c>
      <c r="R64" s="603">
        <f>TariffRandValues20232024!R64*'Tariff SUMMARY 26-27'!$F$3+TariffRandValues20232024!R64</f>
        <v>1264665.9762323487</v>
      </c>
      <c r="S64" s="603">
        <f>TariffRandValues20232024!S64*'Tariff SUMMARY 26-27'!$F$3+TariffRandValues20232024!S64</f>
        <v>1146702.6676272147</v>
      </c>
      <c r="T64" s="603">
        <f>TariffRandValues20232024!T64*'Tariff SUMMARY 26-27'!$F$3+TariffRandValues20232024!T64</f>
        <v>1558747.8218853239</v>
      </c>
      <c r="U64" s="603">
        <f>TariffRandValues20232024!U64*'Tariff SUMMARY 26-27'!$F$3+TariffRandValues20232024!U64</f>
        <v>2525971.3935164176</v>
      </c>
      <c r="V64" s="605">
        <f>SUM(L64:T64)</f>
        <v>10644259.186882928</v>
      </c>
      <c r="W64" s="605">
        <f>U64+J64+K64</f>
        <v>7262538.0845433148</v>
      </c>
    </row>
    <row r="65" spans="1:24" x14ac:dyDescent="0.35">
      <c r="A65" s="311" t="s">
        <v>496</v>
      </c>
      <c r="B65" s="311" t="s">
        <v>501</v>
      </c>
      <c r="C65" s="311" t="s">
        <v>495</v>
      </c>
      <c r="D65" s="311" t="s">
        <v>500</v>
      </c>
      <c r="E65" s="245" t="s">
        <v>495</v>
      </c>
      <c r="F65" s="245" t="s">
        <v>500</v>
      </c>
      <c r="I65" s="604">
        <f>SUM(J65:U65)</f>
        <v>26120911.895621233</v>
      </c>
      <c r="J65" s="603">
        <f>TariffRandValues20232024!J65*'Tariff SUMMARY 26-27'!$F$3+TariffRandValues20232024!J65</f>
        <v>3604452.3763209111</v>
      </c>
      <c r="K65" s="603">
        <f>TariffRandValues20232024!K65*'Tariff SUMMARY 26-27'!$F$3+TariffRandValues20232024!K65</f>
        <v>329286.57442751859</v>
      </c>
      <c r="L65" s="603">
        <f>TariffRandValues20232024!L65*'Tariff SUMMARY 26-27'!$F$3+TariffRandValues20232024!L65</f>
        <v>2166991.695540512</v>
      </c>
      <c r="M65" s="603">
        <f>TariffRandValues20232024!M65*'Tariff SUMMARY 26-27'!$F$3+TariffRandValues20232024!M65</f>
        <v>1982709.2935329454</v>
      </c>
      <c r="N65" s="603">
        <f>TariffRandValues20232024!N65*'Tariff SUMMARY 26-27'!$F$3+TariffRandValues20232024!N65</f>
        <v>1960644.7103246311</v>
      </c>
      <c r="O65" s="603">
        <f>TariffRandValues20232024!O65*'Tariff SUMMARY 26-27'!$F$3+TariffRandValues20232024!O65</f>
        <v>1658921.9305903332</v>
      </c>
      <c r="P65" s="603">
        <f>TariffRandValues20232024!P65*'Tariff SUMMARY 26-27'!$F$3+TariffRandValues20232024!P65</f>
        <v>1926839.2962800222</v>
      </c>
      <c r="Q65" s="603">
        <f>TariffRandValues20232024!Q65*'Tariff SUMMARY 26-27'!$F$3+TariffRandValues20232024!Q65</f>
        <v>1948155.8356524857</v>
      </c>
      <c r="R65" s="603">
        <f>TariffRandValues20232024!R65*'Tariff SUMMARY 26-27'!$F$3+TariffRandValues20232024!R65</f>
        <v>2223809.4315205705</v>
      </c>
      <c r="S65" s="603">
        <f>TariffRandValues20232024!S65*'Tariff SUMMARY 26-27'!$F$3+TariffRandValues20232024!S65</f>
        <v>1971422.0710314196</v>
      </c>
      <c r="T65" s="603">
        <f>TariffRandValues20232024!T65*'Tariff SUMMARY 26-27'!$F$3+TariffRandValues20232024!T65</f>
        <v>2567994.8077748539</v>
      </c>
      <c r="U65" s="603">
        <f>TariffRandValues20232024!U65*'Tariff SUMMARY 26-27'!$F$3+TariffRandValues20232024!U65</f>
        <v>3779683.8726250259</v>
      </c>
      <c r="V65" s="605">
        <f>SUM(L65:T65)</f>
        <v>18407489.072247773</v>
      </c>
      <c r="W65" s="605">
        <f>U65+J65+K65</f>
        <v>7713422.8233734556</v>
      </c>
    </row>
    <row r="66" spans="1:24" x14ac:dyDescent="0.35">
      <c r="A66" s="311" t="s">
        <v>492</v>
      </c>
      <c r="B66" s="311" t="s">
        <v>494</v>
      </c>
      <c r="C66" s="311" t="s">
        <v>499</v>
      </c>
      <c r="D66" s="311" t="s">
        <v>493</v>
      </c>
      <c r="E66" s="245" t="s">
        <v>499</v>
      </c>
      <c r="F66" s="245" t="s">
        <v>493</v>
      </c>
      <c r="I66" s="604">
        <f>SUM(J66:U66)</f>
        <v>24601917.631114293</v>
      </c>
      <c r="J66" s="603">
        <f>TariffRandValues20232024!J66*'Tariff SUMMARY 26-27'!$F$3+TariffRandValues20232024!J66</f>
        <v>3038969.849285922</v>
      </c>
      <c r="K66" s="603">
        <f>TariffRandValues20232024!K66*'Tariff SUMMARY 26-27'!$F$3+TariffRandValues20232024!K66</f>
        <v>3131592.4921403695</v>
      </c>
      <c r="L66" s="603">
        <f>TariffRandValues20232024!L66*'Tariff SUMMARY 26-27'!$F$3+TariffRandValues20232024!L66</f>
        <v>1652085.1724918832</v>
      </c>
      <c r="M66" s="603">
        <f>TariffRandValues20232024!M66*'Tariff SUMMARY 26-27'!$F$3+TariffRandValues20232024!M66</f>
        <v>1669638.7673201901</v>
      </c>
      <c r="N66" s="603">
        <f>TariffRandValues20232024!N66*'Tariff SUMMARY 26-27'!$F$3+TariffRandValues20232024!N66</f>
        <v>1516521.8773316809</v>
      </c>
      <c r="O66" s="603">
        <f>TariffRandValues20232024!O66*'Tariff SUMMARY 26-27'!$F$3+TariffRandValues20232024!O66</f>
        <v>1541496.9041131665</v>
      </c>
      <c r="P66" s="603">
        <f>TariffRandValues20232024!P66*'Tariff SUMMARY 26-27'!$F$3+TariffRandValues20232024!P66</f>
        <v>1700845.7467598459</v>
      </c>
      <c r="Q66" s="603">
        <f>TariffRandValues20232024!Q66*'Tariff SUMMARY 26-27'!$F$3+TariffRandValues20232024!Q66</f>
        <v>1538911.5811351934</v>
      </c>
      <c r="R66" s="603">
        <f>TariffRandValues20232024!R66*'Tariff SUMMARY 26-27'!$F$3+TariffRandValues20232024!R66</f>
        <v>1702625.4713387163</v>
      </c>
      <c r="S66" s="603">
        <f>TariffRandValues20232024!S66*'Tariff SUMMARY 26-27'!$F$3+TariffRandValues20232024!S66</f>
        <v>1812826.5441378737</v>
      </c>
      <c r="T66" s="603">
        <f>TariffRandValues20232024!T66*'Tariff SUMMARY 26-27'!$F$3+TariffRandValues20232024!T66</f>
        <v>2107573.8596619717</v>
      </c>
      <c r="U66" s="603">
        <f>TariffRandValues20232024!U66*'Tariff SUMMARY 26-27'!$F$3+TariffRandValues20232024!U66</f>
        <v>3188829.3653974822</v>
      </c>
      <c r="V66" s="605">
        <f>SUM(L66:T66)</f>
        <v>15242525.924290521</v>
      </c>
      <c r="W66" s="605">
        <f>U66+J66+K66</f>
        <v>9359391.7068237737</v>
      </c>
    </row>
    <row r="67" spans="1:24" x14ac:dyDescent="0.35">
      <c r="A67" s="247" t="s">
        <v>271</v>
      </c>
      <c r="I67" s="601">
        <f>SUM(I68:I72)</f>
        <v>100250002.23933131</v>
      </c>
      <c r="J67" s="602"/>
      <c r="K67" s="602"/>
      <c r="L67" s="602"/>
      <c r="M67" s="602"/>
      <c r="N67" s="602"/>
      <c r="O67" s="602"/>
      <c r="P67" s="602"/>
      <c r="Q67" s="602"/>
      <c r="R67" s="602"/>
      <c r="S67" s="602"/>
      <c r="T67" s="602"/>
      <c r="U67" s="602"/>
      <c r="V67" s="603">
        <f>+V66+V65+V64+V63+V62</f>
        <v>47611564.4494159</v>
      </c>
      <c r="W67" s="603">
        <f>+W66+W65+W64+W63+W62</f>
        <v>25672966.502005082</v>
      </c>
      <c r="X67" s="245">
        <f>+V67+W67</f>
        <v>73284530.951420978</v>
      </c>
    </row>
    <row r="68" spans="1:24" x14ac:dyDescent="0.35">
      <c r="A68" s="311" t="s">
        <v>342</v>
      </c>
      <c r="B68" s="311" t="s">
        <v>342</v>
      </c>
      <c r="C68" s="311" t="s">
        <v>1062</v>
      </c>
      <c r="D68" s="328" t="s">
        <v>1387</v>
      </c>
      <c r="E68" s="245" t="s">
        <v>1062</v>
      </c>
      <c r="F68" s="245" t="s">
        <v>1062</v>
      </c>
      <c r="I68" s="604">
        <f>SUM(J68:U68)</f>
        <v>11352225.634654567</v>
      </c>
      <c r="J68" s="638">
        <v>946018.80288788036</v>
      </c>
      <c r="K68" s="638">
        <v>946018.80288788036</v>
      </c>
      <c r="L68" s="638">
        <v>946018.80288788036</v>
      </c>
      <c r="M68" s="638">
        <v>946018.80288788036</v>
      </c>
      <c r="N68" s="638">
        <v>946018.80288788036</v>
      </c>
      <c r="O68" s="638">
        <v>946018.80288788036</v>
      </c>
      <c r="P68" s="638">
        <v>946018.80288788036</v>
      </c>
      <c r="Q68" s="638">
        <v>946018.80288788036</v>
      </c>
      <c r="R68" s="638">
        <v>946018.80288788036</v>
      </c>
      <c r="S68" s="638">
        <v>946018.80288788036</v>
      </c>
      <c r="T68" s="638">
        <v>946018.80288788036</v>
      </c>
      <c r="U68" s="638">
        <v>946018.80288788036</v>
      </c>
      <c r="V68" s="605">
        <f>SUM(L68:T68)</f>
        <v>8514169.2259909231</v>
      </c>
      <c r="W68" s="605">
        <f>U68+J68+K68</f>
        <v>2838056.4086636412</v>
      </c>
    </row>
    <row r="69" spans="1:24" x14ac:dyDescent="0.35">
      <c r="A69" s="311" t="s">
        <v>272</v>
      </c>
      <c r="B69" s="311" t="s">
        <v>272</v>
      </c>
      <c r="C69" s="311" t="s">
        <v>1063</v>
      </c>
      <c r="D69" s="311" t="s">
        <v>1063</v>
      </c>
      <c r="E69" s="245" t="s">
        <v>1063</v>
      </c>
      <c r="F69" s="245" t="s">
        <v>1063</v>
      </c>
      <c r="I69" s="604">
        <f>SUM(J69:U69)</f>
        <v>2710620.639283495</v>
      </c>
      <c r="J69" s="603">
        <f>TariffRandValues20232024!J69*'Tariff SUMMARY 26-27'!$F$3+TariffRandValues20232024!J69</f>
        <v>283493.68061209802</v>
      </c>
      <c r="K69" s="603">
        <f>TariffRandValues20232024!K69*'Tariff SUMMARY 26-27'!$F$3+TariffRandValues20232024!K69</f>
        <v>266440.29444804846</v>
      </c>
      <c r="L69" s="603">
        <f>TariffRandValues20232024!L69*'Tariff SUMMARY 26-27'!$F$3+TariffRandValues20232024!L69</f>
        <v>244293.52967305493</v>
      </c>
      <c r="M69" s="603">
        <f>TariffRandValues20232024!M69*'Tariff SUMMARY 26-27'!$F$3+TariffRandValues20232024!M69</f>
        <v>218600.26423562627</v>
      </c>
      <c r="N69" s="603">
        <f>TariffRandValues20232024!N69*'Tariff SUMMARY 26-27'!$F$3+TariffRandValues20232024!N69</f>
        <v>208828.52304870408</v>
      </c>
      <c r="O69" s="603">
        <f>TariffRandValues20232024!O69*'Tariff SUMMARY 26-27'!$F$3+TariffRandValues20232024!O69</f>
        <v>177664.5916958171</v>
      </c>
      <c r="P69" s="603">
        <f>TariffRandValues20232024!P69*'Tariff SUMMARY 26-27'!$F$3+TariffRandValues20232024!P69</f>
        <v>190982.83354517439</v>
      </c>
      <c r="Q69" s="603">
        <f>TariffRandValues20232024!Q69*'Tariff SUMMARY 26-27'!$F$3+TariffRandValues20232024!Q69</f>
        <v>185361.25270791026</v>
      </c>
      <c r="R69" s="603">
        <f>TariffRandValues20232024!R69*'Tariff SUMMARY 26-27'!$F$3+TariffRandValues20232024!R69</f>
        <v>195623.46739070115</v>
      </c>
      <c r="S69" s="603">
        <f>TariffRandValues20232024!S69*'Tariff SUMMARY 26-27'!$F$3+TariffRandValues20232024!S69</f>
        <v>201094.13330615946</v>
      </c>
      <c r="T69" s="603">
        <f>TariffRandValues20232024!T69*'Tariff SUMMARY 26-27'!$F$3+TariffRandValues20232024!T69</f>
        <v>256479.90960886906</v>
      </c>
      <c r="U69" s="603">
        <f>TariffRandValues20232024!U69*'Tariff SUMMARY 26-27'!$F$3+TariffRandValues20232024!U69</f>
        <v>281758.15901133191</v>
      </c>
      <c r="V69" s="605">
        <f>SUM(L69:T69)</f>
        <v>1878928.5052120166</v>
      </c>
      <c r="W69" s="605">
        <f>U69+J69+K69</f>
        <v>831692.13407147839</v>
      </c>
    </row>
    <row r="70" spans="1:24" x14ac:dyDescent="0.35">
      <c r="A70" s="311" t="s">
        <v>349</v>
      </c>
      <c r="B70" s="311" t="s">
        <v>345</v>
      </c>
      <c r="C70" s="311" t="s">
        <v>878</v>
      </c>
      <c r="D70" s="311" t="s">
        <v>881</v>
      </c>
      <c r="E70" s="245" t="s">
        <v>878</v>
      </c>
      <c r="F70" s="245" t="s">
        <v>881</v>
      </c>
      <c r="I70" s="604">
        <f>SUM(J70:U70)</f>
        <v>20862028.202774014</v>
      </c>
      <c r="J70" s="603">
        <f>TariffRandValues20232024!J70*'Tariff SUMMARY 26-27'!$F$3+TariffRandValues20232024!J70</f>
        <v>2896978.9231854836</v>
      </c>
      <c r="K70" s="603">
        <f>TariffRandValues20232024!K70*'Tariff SUMMARY 26-27'!$F$3+TariffRandValues20232024!K70</f>
        <v>2806072.3119069966</v>
      </c>
      <c r="L70" s="603">
        <f>TariffRandValues20232024!L70*'Tariff SUMMARY 26-27'!$F$3+TariffRandValues20232024!L70</f>
        <v>1672319.327633702</v>
      </c>
      <c r="M70" s="603">
        <f>TariffRandValues20232024!M70*'Tariff SUMMARY 26-27'!$F$3+TariffRandValues20232024!M70</f>
        <v>1465211.8216818674</v>
      </c>
      <c r="N70" s="603">
        <f>TariffRandValues20232024!N70*'Tariff SUMMARY 26-27'!$F$3+TariffRandValues20232024!N70</f>
        <v>1397846.8378413925</v>
      </c>
      <c r="O70" s="603">
        <f>TariffRandValues20232024!O70*'Tariff SUMMARY 26-27'!$F$3+TariffRandValues20232024!O70</f>
        <v>1077071.4620769515</v>
      </c>
      <c r="P70" s="603">
        <f>TariffRandValues20232024!P70*'Tariff SUMMARY 26-27'!$F$3+TariffRandValues20232024!P70</f>
        <v>1146427.4137986645</v>
      </c>
      <c r="Q70" s="603">
        <f>TariffRandValues20232024!Q70*'Tariff SUMMARY 26-27'!$F$3+TariffRandValues20232024!Q70</f>
        <v>1060127.1542500395</v>
      </c>
      <c r="R70" s="603">
        <f>TariffRandValues20232024!R70*'Tariff SUMMARY 26-27'!$F$3+TariffRandValues20232024!R70</f>
        <v>1334112.4424902343</v>
      </c>
      <c r="S70" s="603">
        <f>TariffRandValues20232024!S70*'Tariff SUMMARY 26-27'!$F$3+TariffRandValues20232024!S70</f>
        <v>1232418.4877469088</v>
      </c>
      <c r="T70" s="603">
        <f>TariffRandValues20232024!T70*'Tariff SUMMARY 26-27'!$F$3+TariffRandValues20232024!T70</f>
        <v>1795314.2963911195</v>
      </c>
      <c r="U70" s="603">
        <f>TariffRandValues20232024!U70*'Tariff SUMMARY 26-27'!$F$3+TariffRandValues20232024!U70</f>
        <v>2978127.7237706557</v>
      </c>
      <c r="V70" s="605">
        <f>SUM(L70:T70)</f>
        <v>12180849.243910883</v>
      </c>
      <c r="W70" s="605">
        <f>U70+J70+K70</f>
        <v>8681178.9588631354</v>
      </c>
    </row>
    <row r="71" spans="1:24" x14ac:dyDescent="0.35">
      <c r="A71" s="311" t="s">
        <v>353</v>
      </c>
      <c r="B71" s="311" t="s">
        <v>273</v>
      </c>
      <c r="C71" s="311" t="s">
        <v>877</v>
      </c>
      <c r="D71" s="311" t="s">
        <v>880</v>
      </c>
      <c r="E71" s="245" t="s">
        <v>877</v>
      </c>
      <c r="F71" s="245" t="s">
        <v>880</v>
      </c>
      <c r="I71" s="604">
        <f>SUM(J71:U71)</f>
        <v>36738940.880117327</v>
      </c>
      <c r="J71" s="603">
        <f>TariffRandValues20232024!J71*'Tariff SUMMARY 26-27'!$F$3+TariffRandValues20232024!J71</f>
        <v>5089355.9430028675</v>
      </c>
      <c r="K71" s="603">
        <f>TariffRandValues20232024!K71*'Tariff SUMMARY 26-27'!$F$3+TariffRandValues20232024!K71</f>
        <v>4876921.3866804205</v>
      </c>
      <c r="L71" s="603">
        <f>TariffRandValues20232024!L71*'Tariff SUMMARY 26-27'!$F$3+TariffRandValues20232024!L71</f>
        <v>2855938.6554608084</v>
      </c>
      <c r="M71" s="603">
        <f>TariffRandValues20232024!M71*'Tariff SUMMARY 26-27'!$F$3+TariffRandValues20232024!M71</f>
        <v>2608406.4127191701</v>
      </c>
      <c r="N71" s="603">
        <f>TariffRandValues20232024!N71*'Tariff SUMMARY 26-27'!$F$3+TariffRandValues20232024!N71</f>
        <v>2492969.492126537</v>
      </c>
      <c r="O71" s="603">
        <f>TariffRandValues20232024!O71*'Tariff SUMMARY 26-27'!$F$3+TariffRandValues20232024!O71</f>
        <v>1959694.5117809125</v>
      </c>
      <c r="P71" s="603">
        <f>TariffRandValues20232024!P71*'Tariff SUMMARY 26-27'!$F$3+TariffRandValues20232024!P71</f>
        <v>2111696.7001344278</v>
      </c>
      <c r="Q71" s="603">
        <f>TariffRandValues20232024!Q71*'Tariff SUMMARY 26-27'!$F$3+TariffRandValues20232024!Q71</f>
        <v>1899462.4040453499</v>
      </c>
      <c r="R71" s="603">
        <f>TariffRandValues20232024!R71*'Tariff SUMMARY 26-27'!$F$3+TariffRandValues20232024!R71</f>
        <v>2372104.4672687436</v>
      </c>
      <c r="S71" s="603">
        <f>TariffRandValues20232024!S71*'Tariff SUMMARY 26-27'!$F$3+TariffRandValues20232024!S71</f>
        <v>2151327.2053952562</v>
      </c>
      <c r="T71" s="603">
        <f>TariffRandValues20232024!T71*'Tariff SUMMARY 26-27'!$F$3+TariffRandValues20232024!T71</f>
        <v>3087293.4679100765</v>
      </c>
      <c r="U71" s="603">
        <f>TariffRandValues20232024!U71*'Tariff SUMMARY 26-27'!$F$3+TariffRandValues20232024!U71</f>
        <v>5233770.2335927542</v>
      </c>
      <c r="V71" s="605">
        <f>SUM(L71:T71)</f>
        <v>21538893.316841282</v>
      </c>
      <c r="W71" s="605">
        <f>U71+J71+K71</f>
        <v>15200047.563276041</v>
      </c>
    </row>
    <row r="72" spans="1:24" x14ac:dyDescent="0.35">
      <c r="A72" s="311" t="s">
        <v>351</v>
      </c>
      <c r="B72" s="311" t="s">
        <v>274</v>
      </c>
      <c r="C72" s="311" t="s">
        <v>879</v>
      </c>
      <c r="D72" s="311" t="s">
        <v>882</v>
      </c>
      <c r="E72" s="245" t="s">
        <v>879</v>
      </c>
      <c r="F72" s="245" t="s">
        <v>882</v>
      </c>
      <c r="I72" s="604">
        <f>SUM(J72:U72)</f>
        <v>28586186.882501896</v>
      </c>
      <c r="J72" s="603">
        <f>TariffRandValues20232024!J72*'Tariff SUMMARY 26-27'!$F$3+TariffRandValues20232024!J72</f>
        <v>3563985.0192692541</v>
      </c>
      <c r="K72" s="603">
        <f>TariffRandValues20232024!K72*'Tariff SUMMARY 26-27'!$F$3+TariffRandValues20232024!K72</f>
        <v>3856350.6790878526</v>
      </c>
      <c r="L72" s="603">
        <f>TariffRandValues20232024!L72*'Tariff SUMMARY 26-27'!$F$3+TariffRandValues20232024!L72</f>
        <v>2117333.6243646075</v>
      </c>
      <c r="M72" s="603">
        <f>TariffRandValues20232024!M72*'Tariff SUMMARY 26-27'!$F$3+TariffRandValues20232024!M72</f>
        <v>2137625.6753020831</v>
      </c>
      <c r="N72" s="603">
        <f>TariffRandValues20232024!N72*'Tariff SUMMARY 26-27'!$F$3+TariffRandValues20232024!N72</f>
        <v>1883013.5766669242</v>
      </c>
      <c r="O72" s="603">
        <f>TariffRandValues20232024!O72*'Tariff SUMMARY 26-27'!$F$3+TariffRandValues20232024!O72</f>
        <v>1782054.5969959567</v>
      </c>
      <c r="P72" s="603">
        <f>TariffRandValues20232024!P72*'Tariff SUMMARY 26-27'!$F$3+TariffRandValues20232024!P72</f>
        <v>1865293.6417972525</v>
      </c>
      <c r="Q72" s="603">
        <f>TariffRandValues20232024!Q72*'Tariff SUMMARY 26-27'!$F$3+TariffRandValues20232024!Q72</f>
        <v>1487934.9051276441</v>
      </c>
      <c r="R72" s="603">
        <f>TariffRandValues20232024!R72*'Tariff SUMMARY 26-27'!$F$3+TariffRandValues20232024!R72</f>
        <v>1770749.8866532249</v>
      </c>
      <c r="S72" s="603">
        <f>TariffRandValues20232024!S72*'Tariff SUMMARY 26-27'!$F$3+TariffRandValues20232024!S72</f>
        <v>1944152.6934223836</v>
      </c>
      <c r="T72" s="603">
        <f>TariffRandValues20232024!T72*'Tariff SUMMARY 26-27'!$F$3+TariffRandValues20232024!T72</f>
        <v>2476961.4693335854</v>
      </c>
      <c r="U72" s="603">
        <f>TariffRandValues20232024!U72*'Tariff SUMMARY 26-27'!$F$3+TariffRandValues20232024!U72</f>
        <v>3700731.1144811264</v>
      </c>
      <c r="V72" s="605">
        <f>SUM(L72:T72)</f>
        <v>17465120.069663662</v>
      </c>
      <c r="W72" s="605">
        <f>U72+J72+K72</f>
        <v>11121066.812838234</v>
      </c>
    </row>
    <row r="73" spans="1:24" x14ac:dyDescent="0.35">
      <c r="A73" s="247" t="s">
        <v>547</v>
      </c>
      <c r="I73" s="601">
        <f>SUM(I74:I76)</f>
        <v>8308327.4958704691</v>
      </c>
      <c r="J73" s="602"/>
      <c r="K73" s="602"/>
      <c r="L73" s="602"/>
      <c r="M73" s="602"/>
      <c r="N73" s="602"/>
      <c r="O73" s="602"/>
      <c r="P73" s="602"/>
      <c r="Q73" s="602"/>
      <c r="R73" s="602"/>
      <c r="S73" s="602"/>
      <c r="T73" s="602"/>
      <c r="U73" s="602"/>
      <c r="V73" s="603">
        <f>+V72+V71+V70+V69+V68</f>
        <v>61577960.361618765</v>
      </c>
      <c r="W73" s="603">
        <f>+W72+W71+W70+W69+W68</f>
        <v>38672041.877712525</v>
      </c>
      <c r="X73" s="245">
        <f>+V73+W73</f>
        <v>100250002.23933129</v>
      </c>
    </row>
    <row r="74" spans="1:24" x14ac:dyDescent="0.35">
      <c r="A74" s="311" t="s">
        <v>489</v>
      </c>
      <c r="B74" s="311" t="s">
        <v>276</v>
      </c>
      <c r="C74" s="311" t="s">
        <v>488</v>
      </c>
      <c r="D74" s="311" t="s">
        <v>822</v>
      </c>
      <c r="E74" s="245" t="s">
        <v>488</v>
      </c>
      <c r="F74" s="245" t="s">
        <v>822</v>
      </c>
      <c r="I74" s="604">
        <f>SUM(J74:U74)</f>
        <v>1989328.1827349765</v>
      </c>
      <c r="J74" s="603">
        <f>TariffRandValues20232024!J74*'Tariff SUMMARY 26-27'!$F$3+TariffRandValues20232024!J74</f>
        <v>225363.24716043111</v>
      </c>
      <c r="K74" s="603">
        <f>TariffRandValues20232024!K74*'Tariff SUMMARY 26-27'!$F$3+TariffRandValues20232024!K74</f>
        <v>195021.75084302729</v>
      </c>
      <c r="L74" s="603">
        <f>TariffRandValues20232024!L74*'Tariff SUMMARY 26-27'!$F$3+TariffRandValues20232024!L74</f>
        <v>117014.19375967368</v>
      </c>
      <c r="M74" s="603">
        <f>TariffRandValues20232024!M74*'Tariff SUMMARY 26-27'!$F$3+TariffRandValues20232024!M74</f>
        <v>143456.14813793803</v>
      </c>
      <c r="N74" s="603">
        <f>TariffRandValues20232024!N74*'Tariff SUMMARY 26-27'!$F$3+TariffRandValues20232024!N74</f>
        <v>142856.19658154828</v>
      </c>
      <c r="O74" s="603">
        <f>TariffRandValues20232024!O74*'Tariff SUMMARY 26-27'!$F$3+TariffRandValues20232024!O74</f>
        <v>112435.96918319781</v>
      </c>
      <c r="P74" s="603">
        <f>TariffRandValues20232024!P74*'Tariff SUMMARY 26-27'!$F$3+TariffRandValues20232024!P74</f>
        <v>160616.10439537998</v>
      </c>
      <c r="Q74" s="603">
        <f>TariffRandValues20232024!Q74*'Tariff SUMMARY 26-27'!$F$3+TariffRandValues20232024!Q74</f>
        <v>165892.99460222031</v>
      </c>
      <c r="R74" s="603">
        <f>TariffRandValues20232024!R74*'Tariff SUMMARY 26-27'!$F$3+TariffRandValues20232024!R74</f>
        <v>159100.252353277</v>
      </c>
      <c r="S74" s="603">
        <f>TariffRandValues20232024!S74*'Tariff SUMMARY 26-27'!$F$3+TariffRandValues20232024!S74</f>
        <v>145922.08320916942</v>
      </c>
      <c r="T74" s="603">
        <f>TariffRandValues20232024!T74*'Tariff SUMMARY 26-27'!$F$3+TariffRandValues20232024!T74</f>
        <v>150885.58019086684</v>
      </c>
      <c r="U74" s="603">
        <f>TariffRandValues20232024!U74*'Tariff SUMMARY 26-27'!$F$3+TariffRandValues20232024!U74</f>
        <v>270763.66231824685</v>
      </c>
      <c r="V74" s="605">
        <f>SUM(L74:T74)</f>
        <v>1298179.5224132715</v>
      </c>
      <c r="W74" s="605">
        <f>U74+J74+K74</f>
        <v>691148.66032170528</v>
      </c>
    </row>
    <row r="75" spans="1:24" x14ac:dyDescent="0.35">
      <c r="A75" s="311" t="s">
        <v>487</v>
      </c>
      <c r="B75" s="311" t="s">
        <v>277</v>
      </c>
      <c r="C75" s="311" t="s">
        <v>486</v>
      </c>
      <c r="D75" s="311" t="s">
        <v>821</v>
      </c>
      <c r="E75" s="245" t="s">
        <v>486</v>
      </c>
      <c r="F75" s="245" t="s">
        <v>821</v>
      </c>
      <c r="I75" s="604">
        <f>SUM(J75:U75)</f>
        <v>3021139.5956068537</v>
      </c>
      <c r="J75" s="603">
        <f>TariffRandValues20232024!J75*'Tariff SUMMARY 26-27'!$F$3+TariffRandValues20232024!J75</f>
        <v>295420.57178809936</v>
      </c>
      <c r="K75" s="603">
        <f>TariffRandValues20232024!K75*'Tariff SUMMARY 26-27'!$F$3+TariffRandValues20232024!K75</f>
        <v>267759.22465590847</v>
      </c>
      <c r="L75" s="603">
        <f>TariffRandValues20232024!L75*'Tariff SUMMARY 26-27'!$F$3+TariffRandValues20232024!L75</f>
        <v>186643.29611756769</v>
      </c>
      <c r="M75" s="603">
        <f>TariffRandValues20232024!M75*'Tariff SUMMARY 26-27'!$F$3+TariffRandValues20232024!M75</f>
        <v>229783.78363158982</v>
      </c>
      <c r="N75" s="603">
        <f>TariffRandValues20232024!N75*'Tariff SUMMARY 26-27'!$F$3+TariffRandValues20232024!N75</f>
        <v>221770.49237397997</v>
      </c>
      <c r="O75" s="603">
        <f>TariffRandValues20232024!O75*'Tariff SUMMARY 26-27'!$F$3+TariffRandValues20232024!O75</f>
        <v>182999.31141880687</v>
      </c>
      <c r="P75" s="603">
        <f>TariffRandValues20232024!P75*'Tariff SUMMARY 26-27'!$F$3+TariffRandValues20232024!P75</f>
        <v>259680.78295426845</v>
      </c>
      <c r="Q75" s="603">
        <f>TariffRandValues20232024!Q75*'Tariff SUMMARY 26-27'!$F$3+TariffRandValues20232024!Q75</f>
        <v>266186.85942740523</v>
      </c>
      <c r="R75" s="603">
        <f>TariffRandValues20232024!R75*'Tariff SUMMARY 26-27'!$F$3+TariffRandValues20232024!R75</f>
        <v>263973.51653680182</v>
      </c>
      <c r="S75" s="603">
        <f>TariffRandValues20232024!S75*'Tariff SUMMARY 26-27'!$F$3+TariffRandValues20232024!S75</f>
        <v>242885.23804364595</v>
      </c>
      <c r="T75" s="603">
        <f>TariffRandValues20232024!T75*'Tariff SUMMARY 26-27'!$F$3+TariffRandValues20232024!T75</f>
        <v>239238.82887070102</v>
      </c>
      <c r="U75" s="603">
        <f>TariffRandValues20232024!U75*'Tariff SUMMARY 26-27'!$F$3+TariffRandValues20232024!U75</f>
        <v>364797.68978807877</v>
      </c>
      <c r="V75" s="605">
        <f>SUM(L75:T75)</f>
        <v>2093162.1093747667</v>
      </c>
      <c r="W75" s="605">
        <f>U75+J75+K75</f>
        <v>927977.48623208655</v>
      </c>
    </row>
    <row r="76" spans="1:24" x14ac:dyDescent="0.35">
      <c r="A76" s="311" t="s">
        <v>480</v>
      </c>
      <c r="B76" s="311" t="s">
        <v>278</v>
      </c>
      <c r="C76" s="311" t="s">
        <v>482</v>
      </c>
      <c r="D76" s="311" t="s">
        <v>823</v>
      </c>
      <c r="E76" s="245" t="s">
        <v>482</v>
      </c>
      <c r="F76" s="245" t="s">
        <v>823</v>
      </c>
      <c r="I76" s="604">
        <f>SUM(J76:U76)</f>
        <v>3297859.7175286389</v>
      </c>
      <c r="J76" s="603">
        <f>TariffRandValues20232024!J76*'Tariff SUMMARY 26-27'!$F$3+TariffRandValues20232024!J76</f>
        <v>322811.76159552624</v>
      </c>
      <c r="K76" s="603">
        <f>TariffRandValues20232024!K76*'Tariff SUMMARY 26-27'!$F$3+TariffRandValues20232024!K76</f>
        <v>366029.56987812719</v>
      </c>
      <c r="L76" s="603">
        <f>TariffRandValues20232024!L76*'Tariff SUMMARY 26-27'!$F$3+TariffRandValues20232024!L76</f>
        <v>202862.84231803165</v>
      </c>
      <c r="M76" s="603">
        <f>TariffRandValues20232024!M76*'Tariff SUMMARY 26-27'!$F$3+TariffRandValues20232024!M76</f>
        <v>224936.05123681368</v>
      </c>
      <c r="N76" s="603">
        <f>TariffRandValues20232024!N76*'Tariff SUMMARY 26-27'!$F$3+TariffRandValues20232024!N76</f>
        <v>221956.9833674799</v>
      </c>
      <c r="O76" s="603">
        <f>TariffRandValues20232024!O76*'Tariff SUMMARY 26-27'!$F$3+TariffRandValues20232024!O76</f>
        <v>254660.3334755314</v>
      </c>
      <c r="P76" s="603">
        <f>TariffRandValues20232024!P76*'Tariff SUMMARY 26-27'!$F$3+TariffRandValues20232024!P76</f>
        <v>258714.98950740017</v>
      </c>
      <c r="Q76" s="603">
        <f>TariffRandValues20232024!Q76*'Tariff SUMMARY 26-27'!$F$3+TariffRandValues20232024!Q76</f>
        <v>254743.93108419792</v>
      </c>
      <c r="R76" s="603">
        <f>TariffRandValues20232024!R76*'Tariff SUMMARY 26-27'!$F$3+TariffRandValues20232024!R76</f>
        <v>288860.70002025994</v>
      </c>
      <c r="S76" s="603">
        <f>TariffRandValues20232024!S76*'Tariff SUMMARY 26-27'!$F$3+TariffRandValues20232024!S76</f>
        <v>262461.91689337493</v>
      </c>
      <c r="T76" s="603">
        <f>TariffRandValues20232024!T76*'Tariff SUMMARY 26-27'!$F$3+TariffRandValues20232024!T76</f>
        <v>234527.24272166734</v>
      </c>
      <c r="U76" s="603">
        <f>TariffRandValues20232024!U76*'Tariff SUMMARY 26-27'!$F$3+TariffRandValues20232024!U76</f>
        <v>405293.39543022803</v>
      </c>
      <c r="V76" s="605">
        <f>SUM(L76:T76)</f>
        <v>2203724.990624757</v>
      </c>
      <c r="W76" s="605">
        <f>U76+J76+K76</f>
        <v>1094134.7269038814</v>
      </c>
    </row>
    <row r="77" spans="1:24" x14ac:dyDescent="0.35">
      <c r="A77" s="247" t="s">
        <v>1478</v>
      </c>
      <c r="I77" s="601">
        <f>SUM(I78:I80)</f>
        <v>2193626.6250566863</v>
      </c>
      <c r="J77" s="602"/>
      <c r="K77" s="602"/>
      <c r="L77" s="602"/>
      <c r="M77" s="602"/>
      <c r="N77" s="602"/>
      <c r="O77" s="602"/>
      <c r="P77" s="602"/>
      <c r="Q77" s="602"/>
      <c r="R77" s="602"/>
      <c r="S77" s="602"/>
      <c r="T77" s="602"/>
      <c r="U77" s="602"/>
      <c r="V77" s="603">
        <f>+V76+V75+V74</f>
        <v>5595066.6224127952</v>
      </c>
      <c r="W77" s="603">
        <f>+W76+W75+W74</f>
        <v>2713260.873457673</v>
      </c>
      <c r="X77" s="245">
        <f>+W77+V77</f>
        <v>8308327.4958704682</v>
      </c>
    </row>
    <row r="78" spans="1:24" x14ac:dyDescent="0.35">
      <c r="A78" s="311" t="s">
        <v>507</v>
      </c>
      <c r="B78" s="311" t="s">
        <v>443</v>
      </c>
      <c r="C78" s="311" t="s">
        <v>506</v>
      </c>
      <c r="D78" s="311" t="s">
        <v>1053</v>
      </c>
      <c r="E78" s="245" t="s">
        <v>506</v>
      </c>
      <c r="F78" s="245" t="s">
        <v>1053</v>
      </c>
      <c r="I78" s="604">
        <f>SUM(J78:U78)</f>
        <v>601700.22867326182</v>
      </c>
      <c r="J78" s="603">
        <f>TariffRandValues20232024!J78*'Tariff SUMMARY 26-27'!$F$3+TariffRandValues20232024!J78</f>
        <v>67036.267785181393</v>
      </c>
      <c r="K78" s="603">
        <f>TariffRandValues20232024!K78*'Tariff SUMMARY 26-27'!$F$3+TariffRandValues20232024!K78</f>
        <v>60206.159006456517</v>
      </c>
      <c r="L78" s="603">
        <f>TariffRandValues20232024!L78*'Tariff SUMMARY 26-27'!$F$3+TariffRandValues20232024!L78</f>
        <v>27989.287555271698</v>
      </c>
      <c r="M78" s="603">
        <f>TariffRandValues20232024!M78*'Tariff SUMMARY 26-27'!$F$3+TariffRandValues20232024!M78</f>
        <v>35325.087629612994</v>
      </c>
      <c r="N78" s="603">
        <f>TariffRandValues20232024!N78*'Tariff SUMMARY 26-27'!$F$3+TariffRandValues20232024!N78</f>
        <v>32005.420450437312</v>
      </c>
      <c r="O78" s="603">
        <f>TariffRandValues20232024!O78*'Tariff SUMMARY 26-27'!$F$3+TariffRandValues20232024!O78</f>
        <v>31450.63911478702</v>
      </c>
      <c r="P78" s="603">
        <f>TariffRandValues20232024!P78*'Tariff SUMMARY 26-27'!$F$3+TariffRandValues20232024!P78</f>
        <v>45788.611566459651</v>
      </c>
      <c r="Q78" s="603">
        <f>TariffRandValues20232024!Q78*'Tariff SUMMARY 26-27'!$F$3+TariffRandValues20232024!Q78</f>
        <v>45612.09674092786</v>
      </c>
      <c r="R78" s="603">
        <f>TariffRandValues20232024!R78*'Tariff SUMMARY 26-27'!$F$3+TariffRandValues20232024!R78</f>
        <v>43092.527486201754</v>
      </c>
      <c r="S78" s="603">
        <f>TariffRandValues20232024!S78*'Tariff SUMMARY 26-27'!$F$3+TariffRandValues20232024!S78</f>
        <v>41204.667241039497</v>
      </c>
      <c r="T78" s="603">
        <f>TariffRandValues20232024!T78*'Tariff SUMMARY 26-27'!$F$3+TariffRandValues20232024!T78</f>
        <v>54553.498005611284</v>
      </c>
      <c r="U78" s="603">
        <f>TariffRandValues20232024!U78*'Tariff SUMMARY 26-27'!$F$3+TariffRandValues20232024!U78</f>
        <v>117435.96609127492</v>
      </c>
      <c r="V78" s="605">
        <f>SUM(L78:T78)</f>
        <v>357021.83579034905</v>
      </c>
      <c r="W78" s="605">
        <f>U78+J78+K78</f>
        <v>244678.39288291286</v>
      </c>
    </row>
    <row r="79" spans="1:24" x14ac:dyDescent="0.35">
      <c r="A79" s="311" t="s">
        <v>505</v>
      </c>
      <c r="B79" s="311" t="s">
        <v>445</v>
      </c>
      <c r="C79" s="311" t="s">
        <v>504</v>
      </c>
      <c r="D79" s="311" t="s">
        <v>1052</v>
      </c>
      <c r="E79" s="245" t="s">
        <v>504</v>
      </c>
      <c r="F79" s="245" t="s">
        <v>1052</v>
      </c>
      <c r="I79" s="604">
        <f>SUM(J79:U79)</f>
        <v>869085.59248840518</v>
      </c>
      <c r="J79" s="603">
        <f>TariffRandValues20232024!J79*'Tariff SUMMARY 26-27'!$F$3+TariffRandValues20232024!J79</f>
        <v>91853.633238576251</v>
      </c>
      <c r="K79" s="603">
        <f>TariffRandValues20232024!K79*'Tariff SUMMARY 26-27'!$F$3+TariffRandValues20232024!K79</f>
        <v>87133.635080623149</v>
      </c>
      <c r="L79" s="603">
        <f>TariffRandValues20232024!L79*'Tariff SUMMARY 26-27'!$F$3+TariffRandValues20232024!L79</f>
        <v>42246.452958932547</v>
      </c>
      <c r="M79" s="603">
        <f>TariffRandValues20232024!M79*'Tariff SUMMARY 26-27'!$F$3+TariffRandValues20232024!M79</f>
        <v>54381.254962800391</v>
      </c>
      <c r="N79" s="603">
        <f>TariffRandValues20232024!N79*'Tariff SUMMARY 26-27'!$F$3+TariffRandValues20232024!N79</f>
        <v>50272.328423407533</v>
      </c>
      <c r="O79" s="603">
        <f>TariffRandValues20232024!O79*'Tariff SUMMARY 26-27'!$F$3+TariffRandValues20232024!O79</f>
        <v>49025.311208786996</v>
      </c>
      <c r="P79" s="603">
        <f>TariffRandValues20232024!P79*'Tariff SUMMARY 26-27'!$F$3+TariffRandValues20232024!P79</f>
        <v>74111.387820915246</v>
      </c>
      <c r="Q79" s="603">
        <f>TariffRandValues20232024!Q79*'Tariff SUMMARY 26-27'!$F$3+TariffRandValues20232024!Q79</f>
        <v>73788.542445863393</v>
      </c>
      <c r="R79" s="603">
        <f>TariffRandValues20232024!R79*'Tariff SUMMARY 26-27'!$F$3+TariffRandValues20232024!R79</f>
        <v>72326.516726172413</v>
      </c>
      <c r="S79" s="603">
        <f>TariffRandValues20232024!S79*'Tariff SUMMARY 26-27'!$F$3+TariffRandValues20232024!S79</f>
        <v>61970.621642149476</v>
      </c>
      <c r="T79" s="603">
        <f>TariffRandValues20232024!T79*'Tariff SUMMARY 26-27'!$F$3+TariffRandValues20232024!T79</f>
        <v>73451.016024908909</v>
      </c>
      <c r="U79" s="603">
        <f>TariffRandValues20232024!U79*'Tariff SUMMARY 26-27'!$F$3+TariffRandValues20232024!U79</f>
        <v>138524.89195526883</v>
      </c>
      <c r="V79" s="605">
        <f>SUM(L79:T79)</f>
        <v>551573.43221393693</v>
      </c>
      <c r="W79" s="605">
        <f>U79+J79+K79</f>
        <v>317512.16027446825</v>
      </c>
    </row>
    <row r="80" spans="1:24" x14ac:dyDescent="0.35">
      <c r="A80" s="311" t="s">
        <v>509</v>
      </c>
      <c r="B80" s="311" t="s">
        <v>441</v>
      </c>
      <c r="C80" s="311" t="s">
        <v>508</v>
      </c>
      <c r="D80" s="311" t="s">
        <v>1054</v>
      </c>
      <c r="E80" s="245" t="s">
        <v>508</v>
      </c>
      <c r="F80" s="245" t="s">
        <v>1054</v>
      </c>
      <c r="I80" s="604">
        <f>SUM(J80:U80)</f>
        <v>722840.80389501946</v>
      </c>
      <c r="J80" s="603">
        <f>TariffRandValues20232024!J80*'Tariff SUMMARY 26-27'!$F$3+TariffRandValues20232024!J80</f>
        <v>92168.919078485109</v>
      </c>
      <c r="K80" s="603">
        <f>TariffRandValues20232024!K80*'Tariff SUMMARY 26-27'!$F$3+TariffRandValues20232024!K80</f>
        <v>96520.568999141688</v>
      </c>
      <c r="L80" s="603">
        <f>TariffRandValues20232024!L80*'Tariff SUMMARY 26-27'!$F$3+TariffRandValues20232024!L80</f>
        <v>38089.946636774504</v>
      </c>
      <c r="M80" s="603">
        <f>TariffRandValues20232024!M80*'Tariff SUMMARY 26-27'!$F$3+TariffRandValues20232024!M80</f>
        <v>43841.629803679505</v>
      </c>
      <c r="N80" s="603">
        <f>TariffRandValues20232024!N80*'Tariff SUMMARY 26-27'!$F$3+TariffRandValues20232024!N80</f>
        <v>42733.03729015548</v>
      </c>
      <c r="O80" s="603">
        <f>TariffRandValues20232024!O80*'Tariff SUMMARY 26-27'!$F$3+TariffRandValues20232024!O80</f>
        <v>50159.223860250386</v>
      </c>
      <c r="P80" s="603">
        <f>TariffRandValues20232024!P80*'Tariff SUMMARY 26-27'!$F$3+TariffRandValues20232024!P80</f>
        <v>55883.806217046324</v>
      </c>
      <c r="Q80" s="603">
        <f>TariffRandValues20232024!Q80*'Tariff SUMMARY 26-27'!$F$3+TariffRandValues20232024!Q80</f>
        <v>47661.714828636701</v>
      </c>
      <c r="R80" s="603">
        <f>TariffRandValues20232024!R80*'Tariff SUMMARY 26-27'!$F$3+TariffRandValues20232024!R80</f>
        <v>52701.618608607205</v>
      </c>
      <c r="S80" s="603">
        <f>TariffRandValues20232024!S80*'Tariff SUMMARY 26-27'!$F$3+TariffRandValues20232024!S80</f>
        <v>51576.652688975642</v>
      </c>
      <c r="T80" s="603">
        <f>TariffRandValues20232024!T80*'Tariff SUMMARY 26-27'!$F$3+TariffRandValues20232024!T80</f>
        <v>49207.307905169408</v>
      </c>
      <c r="U80" s="603">
        <f>TariffRandValues20232024!U80*'Tariff SUMMARY 26-27'!$F$3+TariffRandValues20232024!U80</f>
        <v>102296.3779780974</v>
      </c>
      <c r="V80" s="605">
        <f>SUM(L80:T80)</f>
        <v>431854.93783929513</v>
      </c>
      <c r="W80" s="605">
        <f>U80+J80+K80</f>
        <v>290985.86605572421</v>
      </c>
    </row>
    <row r="81" spans="1:24" x14ac:dyDescent="0.35">
      <c r="A81" s="247" t="s">
        <v>1479</v>
      </c>
      <c r="B81" s="248"/>
      <c r="C81" s="248"/>
      <c r="D81" s="248"/>
      <c r="I81" s="601">
        <f>I82</f>
        <v>689497.36252966407</v>
      </c>
      <c r="J81" s="606"/>
      <c r="K81" s="606"/>
      <c r="L81" s="606"/>
      <c r="M81" s="638"/>
      <c r="N81" s="638"/>
      <c r="O81" s="638"/>
      <c r="P81" s="606"/>
      <c r="Q81" s="606"/>
      <c r="R81" s="606"/>
      <c r="S81" s="606"/>
      <c r="T81" s="606"/>
      <c r="U81" s="606"/>
      <c r="V81" s="611">
        <f>+V80+V79+V78</f>
        <v>1340450.2058435811</v>
      </c>
      <c r="W81" s="611">
        <f>+W80+W79+W78</f>
        <v>853176.41921310534</v>
      </c>
      <c r="X81" s="245">
        <f>+W81+V81</f>
        <v>2193626.6250566863</v>
      </c>
    </row>
    <row r="82" spans="1:24" x14ac:dyDescent="0.35">
      <c r="A82" s="328" t="s">
        <v>1488</v>
      </c>
      <c r="B82" s="328" t="s">
        <v>1488</v>
      </c>
      <c r="C82" s="328" t="s">
        <v>1481</v>
      </c>
      <c r="D82" s="328" t="s">
        <v>1481</v>
      </c>
      <c r="I82" s="604">
        <f>SUM(J82:U82)</f>
        <v>689497.36252966407</v>
      </c>
      <c r="J82" s="603">
        <f>TariffRandValues20232024!J82*'Tariff SUMMARY 26-27'!$F$3+TariffRandValues20232024!J82</f>
        <v>52643.150792302244</v>
      </c>
      <c r="K82" s="603">
        <f>TariffRandValues20232024!K82*'Tariff SUMMARY 26-27'!$F$3+TariffRandValues20232024!K82</f>
        <v>85733.953736746131</v>
      </c>
      <c r="L82" s="603">
        <f>TariffRandValues20232024!L82*'Tariff SUMMARY 26-27'!$F$3+TariffRandValues20232024!L82</f>
        <v>93100.195145183447</v>
      </c>
      <c r="M82" s="603">
        <f>TariffRandValues20232024!M82*'Tariff SUMMARY 26-27'!$F$3+TariffRandValues20232024!M82</f>
        <v>48695.202339128438</v>
      </c>
      <c r="N82" s="603">
        <f>TariffRandValues20232024!N82*'Tariff SUMMARY 26-27'!$F$3+TariffRandValues20232024!N82</f>
        <v>43841.631958277663</v>
      </c>
      <c r="O82" s="603">
        <f>TariffRandValues20232024!O82*'Tariff SUMMARY 26-27'!$F$3+TariffRandValues20232024!O82</f>
        <v>68725.208378852243</v>
      </c>
      <c r="P82" s="603">
        <f>TariffRandValues20232024!P82*'Tariff SUMMARY 26-27'!$F$3+TariffRandValues20232024!P82</f>
        <v>36966.708829151918</v>
      </c>
      <c r="Q82" s="603">
        <f>TariffRandValues20232024!Q82*'Tariff SUMMARY 26-27'!$F$3+TariffRandValues20232024!Q82</f>
        <v>60497.073023815465</v>
      </c>
      <c r="R82" s="603">
        <f>TariffRandValues20232024!R82*'Tariff SUMMARY 26-27'!$F$3+TariffRandValues20232024!R82</f>
        <v>27559.618953766563</v>
      </c>
      <c r="S82" s="603">
        <f>TariffRandValues20232024!S82*'Tariff SUMMARY 26-27'!$F$3+TariffRandValues20232024!S82</f>
        <v>52413.834036956992</v>
      </c>
      <c r="T82" s="603">
        <f>TariffRandValues20232024!T82*'Tariff SUMMARY 26-27'!$F$3+TariffRandValues20232024!T82</f>
        <v>50822.904886983837</v>
      </c>
      <c r="U82" s="603">
        <f>TariffRandValues20232024!U82*'Tariff SUMMARY 26-27'!$F$3+TariffRandValues20232024!U82</f>
        <v>68497.880448499156</v>
      </c>
      <c r="V82" s="605">
        <f>SUM(L82:T82)</f>
        <v>482622.37755211658</v>
      </c>
      <c r="W82" s="605">
        <f>U82+J82+K82</f>
        <v>206874.98497754754</v>
      </c>
    </row>
    <row r="83" spans="1:24" x14ac:dyDescent="0.35">
      <c r="A83" s="248" t="s">
        <v>485</v>
      </c>
      <c r="B83" s="248" t="s">
        <v>485</v>
      </c>
      <c r="C83" s="248"/>
      <c r="D83" s="248"/>
      <c r="E83" s="248"/>
      <c r="F83" s="248"/>
      <c r="G83" s="248"/>
      <c r="H83" s="248"/>
      <c r="I83" s="612">
        <f>SUM(J83:U83)</f>
        <v>114228154.81480668</v>
      </c>
      <c r="J83" s="603">
        <f>TariffRandValues20232024!J83*'Tariff SUMMARY 26-27'!$F$3+TariffRandValues20232024!J83</f>
        <v>9763809.0587592181</v>
      </c>
      <c r="K83" s="603">
        <f>TariffRandValues20232024!K83*'Tariff SUMMARY 26-27'!$F$3+TariffRandValues20232024!K83</f>
        <v>9785630.4465731233</v>
      </c>
      <c r="L83" s="603">
        <f>TariffRandValues20232024!L83*'Tariff SUMMARY 26-27'!$F$3+TariffRandValues20232024!L83</f>
        <v>9481904.2378401924</v>
      </c>
      <c r="M83" s="603">
        <f>TariffRandValues20232024!M83*'Tariff SUMMARY 26-27'!$F$3+TariffRandValues20232024!M83</f>
        <v>9803130.7980665807</v>
      </c>
      <c r="N83" s="603">
        <f>TariffRandValues20232024!N83*'Tariff SUMMARY 26-27'!$F$3+TariffRandValues20232024!N83</f>
        <v>9528363.8962131403</v>
      </c>
      <c r="O83" s="603">
        <f>TariffRandValues20232024!O83*'Tariff SUMMARY 26-27'!$F$3+TariffRandValues20232024!O83</f>
        <v>9351509.0207296535</v>
      </c>
      <c r="P83" s="603">
        <f>TariffRandValues20232024!P83*'Tariff SUMMARY 26-27'!$F$3+TariffRandValues20232024!P83</f>
        <v>9365402.4025810882</v>
      </c>
      <c r="Q83" s="603">
        <f>TariffRandValues20232024!Q83*'Tariff SUMMARY 26-27'!$F$3+TariffRandValues20232024!Q83</f>
        <v>9437395.3812657967</v>
      </c>
      <c r="R83" s="603">
        <f>TariffRandValues20232024!R83*'Tariff SUMMARY 26-27'!$F$3+TariffRandValues20232024!R83</f>
        <v>9674845.9074539598</v>
      </c>
      <c r="S83" s="603">
        <f>TariffRandValues20232024!S83*'Tariff SUMMARY 26-27'!$F$3+TariffRandValues20232024!S83</f>
        <v>9318670.1181717142</v>
      </c>
      <c r="T83" s="603">
        <f>TariffRandValues20232024!T83*'Tariff SUMMARY 26-27'!$F$3+TariffRandValues20232024!T83</f>
        <v>9351509.0207296535</v>
      </c>
      <c r="U83" s="603">
        <f>TariffRandValues20232024!U83*'Tariff SUMMARY 26-27'!$F$3+TariffRandValues20232024!U83</f>
        <v>9365984.5264225416</v>
      </c>
      <c r="V83" s="605">
        <f>SUM(L83:T83)</f>
        <v>85312730.783051789</v>
      </c>
      <c r="W83" s="605">
        <f>U83+J83+K83</f>
        <v>28915424.031754881</v>
      </c>
      <c r="X83" s="245">
        <f>+V83+W83</f>
        <v>114228154.81480667</v>
      </c>
    </row>
    <row r="84" spans="1:24" x14ac:dyDescent="0.35">
      <c r="A84" s="867"/>
      <c r="B84" s="867"/>
      <c r="C84" s="867"/>
      <c r="D84" s="867"/>
      <c r="E84" s="867"/>
      <c r="F84" s="867"/>
      <c r="G84" s="867"/>
      <c r="H84" s="867"/>
      <c r="I84" s="867"/>
      <c r="J84" s="867"/>
      <c r="K84" s="867"/>
      <c r="L84" s="867"/>
      <c r="M84" s="867"/>
      <c r="N84" s="867"/>
      <c r="O84" s="867"/>
      <c r="P84" s="867"/>
      <c r="Q84" s="867"/>
      <c r="R84" s="867"/>
      <c r="S84" s="867"/>
      <c r="T84" s="867"/>
      <c r="U84" s="867"/>
      <c r="V84" s="875"/>
      <c r="W84" s="875"/>
    </row>
    <row r="85" spans="1:24" x14ac:dyDescent="0.35">
      <c r="A85" s="577"/>
      <c r="B85" s="867"/>
      <c r="C85" s="867"/>
      <c r="D85" s="867"/>
      <c r="E85" s="867"/>
      <c r="F85" s="867"/>
      <c r="G85" s="867"/>
      <c r="H85" s="867"/>
      <c r="I85" s="867"/>
      <c r="J85" s="867"/>
      <c r="K85" s="867"/>
      <c r="L85" s="867"/>
      <c r="M85" s="867"/>
      <c r="N85" s="867"/>
      <c r="O85" s="867"/>
      <c r="P85" s="867"/>
      <c r="Q85" s="867"/>
      <c r="R85" s="867"/>
      <c r="S85" s="867"/>
      <c r="T85" s="867"/>
      <c r="U85" s="867"/>
      <c r="V85" s="875"/>
      <c r="W85" s="875"/>
    </row>
    <row r="86" spans="1:24" ht="15.5" x14ac:dyDescent="0.35">
      <c r="A86" s="867"/>
      <c r="B86" s="867"/>
      <c r="C86" s="603"/>
      <c r="D86" s="603"/>
      <c r="E86" s="603"/>
      <c r="F86" s="603"/>
      <c r="G86" s="603"/>
      <c r="H86" s="603"/>
      <c r="I86" s="876" t="s">
        <v>1894</v>
      </c>
      <c r="J86" s="867"/>
      <c r="K86" s="867"/>
      <c r="L86" s="867"/>
      <c r="M86" s="867"/>
      <c r="N86" s="867"/>
      <c r="O86" s="867"/>
      <c r="P86" s="867"/>
      <c r="Q86" s="867"/>
      <c r="R86" s="867"/>
      <c r="S86" s="867"/>
      <c r="T86" s="867"/>
      <c r="U86" s="867"/>
      <c r="V86" s="875"/>
      <c r="W86" s="875"/>
    </row>
    <row r="87" spans="1:24" ht="15" thickBot="1" x14ac:dyDescent="0.4">
      <c r="A87" s="330"/>
      <c r="B87" s="330"/>
      <c r="I87" s="851" t="s">
        <v>295</v>
      </c>
      <c r="J87" s="852">
        <f t="shared" ref="J87:U87" si="9">SUM(J8:J83)+SUM(J4:J5)</f>
        <v>385895709.32881039</v>
      </c>
      <c r="K87" s="852">
        <f t="shared" si="9"/>
        <v>550531591.36821222</v>
      </c>
      <c r="L87" s="852">
        <f t="shared" si="9"/>
        <v>304698475.08730942</v>
      </c>
      <c r="M87" s="852">
        <f t="shared" si="9"/>
        <v>298910820.82925338</v>
      </c>
      <c r="N87" s="852">
        <f t="shared" si="9"/>
        <v>303324381.25229621</v>
      </c>
      <c r="O87" s="852">
        <f t="shared" si="9"/>
        <v>279365306.1283105</v>
      </c>
      <c r="P87" s="852">
        <f t="shared" si="9"/>
        <v>275341014.60034895</v>
      </c>
      <c r="Q87" s="852">
        <f t="shared" si="9"/>
        <v>220586765.22395033</v>
      </c>
      <c r="R87" s="852">
        <f t="shared" si="9"/>
        <v>227961752.548078</v>
      </c>
      <c r="S87" s="852">
        <f t="shared" si="9"/>
        <v>223338859.71098325</v>
      </c>
      <c r="T87" s="852">
        <f t="shared" si="9"/>
        <v>296120460.67769831</v>
      </c>
      <c r="U87" s="852">
        <f t="shared" si="9"/>
        <v>404437631.04281551</v>
      </c>
      <c r="V87" s="853">
        <f>SUM(J87:U87)</f>
        <v>3770512767.7980666</v>
      </c>
      <c r="W87" s="877"/>
    </row>
    <row r="88" spans="1:24" ht="15" thickTop="1" x14ac:dyDescent="0.35">
      <c r="A88" s="330"/>
      <c r="B88" s="330"/>
      <c r="I88" s="718" t="s">
        <v>542</v>
      </c>
      <c r="J88" s="845">
        <f t="shared" ref="J88:U88" si="10">+J4+J5+J11+J12+J27</f>
        <v>168078990.7646471</v>
      </c>
      <c r="K88" s="719">
        <f t="shared" si="10"/>
        <v>157336073.76712376</v>
      </c>
      <c r="L88" s="719">
        <f t="shared" si="10"/>
        <v>143772262.25238681</v>
      </c>
      <c r="M88" s="719">
        <f t="shared" si="10"/>
        <v>144332643.02230144</v>
      </c>
      <c r="N88" s="719">
        <f t="shared" si="10"/>
        <v>143818988.38312349</v>
      </c>
      <c r="O88" s="719">
        <f t="shared" si="10"/>
        <v>145650451.62173679</v>
      </c>
      <c r="P88" s="719">
        <f t="shared" si="10"/>
        <v>137507802.92069516</v>
      </c>
      <c r="Q88" s="719">
        <f t="shared" si="10"/>
        <v>87051966.524338722</v>
      </c>
      <c r="R88" s="719">
        <f t="shared" si="10"/>
        <v>90771555.962207064</v>
      </c>
      <c r="S88" s="719">
        <f t="shared" si="10"/>
        <v>91535133.037918508</v>
      </c>
      <c r="T88" s="719">
        <f t="shared" si="10"/>
        <v>155821669.0515281</v>
      </c>
      <c r="U88" s="846">
        <f t="shared" si="10"/>
        <v>193636302.6208744</v>
      </c>
      <c r="V88" s="855">
        <f>SUM(J88:U88)</f>
        <v>1659313839.9288816</v>
      </c>
      <c r="W88" s="878"/>
    </row>
    <row r="89" spans="1:24" x14ac:dyDescent="0.35">
      <c r="A89" s="330"/>
      <c r="B89" s="330"/>
      <c r="I89" s="718" t="s">
        <v>297</v>
      </c>
      <c r="J89" s="845">
        <f t="shared" ref="J89:U89" si="11">SUM(J29:J82,J14:J25,J8:J9)</f>
        <v>208052909.50540435</v>
      </c>
      <c r="K89" s="719">
        <f t="shared" si="11"/>
        <v>203127225.79277888</v>
      </c>
      <c r="L89" s="719">
        <f t="shared" si="11"/>
        <v>151444308.59708244</v>
      </c>
      <c r="M89" s="719">
        <f t="shared" si="11"/>
        <v>144775047.00888547</v>
      </c>
      <c r="N89" s="719">
        <f t="shared" si="11"/>
        <v>149977028.97295949</v>
      </c>
      <c r="O89" s="719">
        <f t="shared" si="11"/>
        <v>124363345.48584403</v>
      </c>
      <c r="P89" s="719">
        <f t="shared" si="11"/>
        <v>128467809.27707262</v>
      </c>
      <c r="Q89" s="719">
        <f t="shared" si="11"/>
        <v>124097403.31834586</v>
      </c>
      <c r="R89" s="719">
        <f t="shared" si="11"/>
        <v>127515350.67841706</v>
      </c>
      <c r="S89" s="719">
        <f t="shared" si="11"/>
        <v>122485056.55489309</v>
      </c>
      <c r="T89" s="719">
        <f t="shared" si="11"/>
        <v>130947282.60544068</v>
      </c>
      <c r="U89" s="846">
        <f t="shared" si="11"/>
        <v>201435343.89551845</v>
      </c>
      <c r="V89" s="855">
        <f t="shared" ref="V89" si="12">SUM(J89:U89)</f>
        <v>1816688111.6926422</v>
      </c>
      <c r="W89" s="878"/>
    </row>
    <row r="90" spans="1:24" x14ac:dyDescent="0.35">
      <c r="A90" s="330"/>
      <c r="B90" s="330"/>
      <c r="I90" s="718" t="s">
        <v>298</v>
      </c>
      <c r="J90" s="845">
        <f t="shared" ref="J90:U90" si="13">+J3+J7</f>
        <v>4268044.9580390258</v>
      </c>
      <c r="K90" s="719">
        <f t="shared" si="13"/>
        <v>4268044.9580390258</v>
      </c>
      <c r="L90" s="719">
        <f t="shared" si="13"/>
        <v>3359970.9610471721</v>
      </c>
      <c r="M90" s="719">
        <f t="shared" si="13"/>
        <v>3359970.9610471721</v>
      </c>
      <c r="N90" s="719">
        <f t="shared" si="13"/>
        <v>3359970.9610471721</v>
      </c>
      <c r="O90" s="719">
        <f t="shared" si="13"/>
        <v>3359970.9610471721</v>
      </c>
      <c r="P90" s="719">
        <f t="shared" si="13"/>
        <v>3359970.9610471721</v>
      </c>
      <c r="Q90" s="719">
        <f t="shared" si="13"/>
        <v>3359970.9610471721</v>
      </c>
      <c r="R90" s="719">
        <f t="shared" si="13"/>
        <v>3359970.9610471721</v>
      </c>
      <c r="S90" s="719">
        <f t="shared" si="13"/>
        <v>3359970.9610471721</v>
      </c>
      <c r="T90" s="719">
        <f t="shared" si="13"/>
        <v>3359970.9610471721</v>
      </c>
      <c r="U90" s="846">
        <f t="shared" si="13"/>
        <v>4268044.9580390258</v>
      </c>
      <c r="V90" s="855">
        <f>SUM(J90:U90)</f>
        <v>43043873.523541622</v>
      </c>
      <c r="W90" s="878"/>
    </row>
    <row r="91" spans="1:24" x14ac:dyDescent="0.35">
      <c r="A91" s="330"/>
      <c r="B91" s="330"/>
      <c r="I91" s="720" t="s">
        <v>543</v>
      </c>
      <c r="J91" s="847">
        <f t="shared" ref="J91:U91" si="14">+J83</f>
        <v>9763809.0587592181</v>
      </c>
      <c r="K91" s="721">
        <f t="shared" si="14"/>
        <v>9785630.4465731233</v>
      </c>
      <c r="L91" s="721">
        <f t="shared" si="14"/>
        <v>9481904.2378401924</v>
      </c>
      <c r="M91" s="721">
        <f t="shared" si="14"/>
        <v>9803130.7980665807</v>
      </c>
      <c r="N91" s="721">
        <f t="shared" si="14"/>
        <v>9528363.8962131403</v>
      </c>
      <c r="O91" s="721">
        <f t="shared" si="14"/>
        <v>9351509.0207296535</v>
      </c>
      <c r="P91" s="721">
        <f t="shared" si="14"/>
        <v>9365402.4025810882</v>
      </c>
      <c r="Q91" s="721">
        <f t="shared" si="14"/>
        <v>9437395.3812657967</v>
      </c>
      <c r="R91" s="721">
        <f t="shared" si="14"/>
        <v>9674845.9074539598</v>
      </c>
      <c r="S91" s="721">
        <f t="shared" si="14"/>
        <v>9318670.1181717142</v>
      </c>
      <c r="T91" s="721">
        <f t="shared" si="14"/>
        <v>9351509.0207296535</v>
      </c>
      <c r="U91" s="848">
        <f t="shared" si="14"/>
        <v>9365984.5264225416</v>
      </c>
      <c r="V91" s="856">
        <f>SUM(J91:U91)</f>
        <v>114228154.81480668</v>
      </c>
      <c r="W91" s="879"/>
    </row>
    <row r="92" spans="1:24" x14ac:dyDescent="0.35">
      <c r="D92" s="245" t="s">
        <v>1865</v>
      </c>
      <c r="I92" s="885">
        <f>I83+I81+I77+I73+I67+I61+I54+I47+I40+I35+I30+I28+I26+I21+I16+I13+I10+I6+I2-(I7+I3)</f>
        <v>3590230106.4363308</v>
      </c>
      <c r="J92" s="607">
        <f t="shared" ref="J92:U92" si="15">+J88+J89+J90+J91</f>
        <v>390163754.28684974</v>
      </c>
      <c r="K92" s="607">
        <f t="shared" si="15"/>
        <v>374516974.96451485</v>
      </c>
      <c r="L92" s="607">
        <f t="shared" si="15"/>
        <v>308058446.04835659</v>
      </c>
      <c r="M92" s="607">
        <f t="shared" si="15"/>
        <v>302270791.79030067</v>
      </c>
      <c r="N92" s="607">
        <f t="shared" si="15"/>
        <v>306684352.21334326</v>
      </c>
      <c r="O92" s="607">
        <f t="shared" si="15"/>
        <v>282725277.08935767</v>
      </c>
      <c r="P92" s="607">
        <f t="shared" si="15"/>
        <v>278700985.56139606</v>
      </c>
      <c r="Q92" s="607">
        <f t="shared" si="15"/>
        <v>223946736.18499753</v>
      </c>
      <c r="R92" s="607">
        <f>+R88+R89+R90+R91</f>
        <v>231321723.50912523</v>
      </c>
      <c r="S92" s="607">
        <f t="shared" si="15"/>
        <v>226698830.67203048</v>
      </c>
      <c r="T92" s="607">
        <f t="shared" si="15"/>
        <v>299480431.63874561</v>
      </c>
      <c r="U92" s="607">
        <f t="shared" si="15"/>
        <v>408705676.00085443</v>
      </c>
      <c r="V92" s="603"/>
      <c r="W92" s="884"/>
    </row>
    <row r="93" spans="1:24" x14ac:dyDescent="0.35">
      <c r="D93" s="245" t="s">
        <v>298</v>
      </c>
      <c r="I93" s="591">
        <f>+I3+I7</f>
        <v>43043873.523541629</v>
      </c>
      <c r="J93" s="589"/>
      <c r="K93" s="589"/>
      <c r="L93" s="589"/>
      <c r="M93" s="589"/>
      <c r="N93" s="589"/>
      <c r="O93" s="589"/>
      <c r="P93" s="589"/>
      <c r="Q93" s="589"/>
      <c r="R93" s="589"/>
      <c r="S93" s="589"/>
      <c r="T93" s="589"/>
      <c r="U93" s="589"/>
      <c r="V93" s="587"/>
      <c r="W93" s="886"/>
    </row>
    <row r="94" spans="1:24" ht="15" thickBot="1" x14ac:dyDescent="0.4">
      <c r="D94" s="247" t="s">
        <v>1864</v>
      </c>
      <c r="I94" s="725">
        <f>SUM(I92:I93)</f>
        <v>3633273979.9598722</v>
      </c>
      <c r="J94" s="589"/>
      <c r="K94" s="589"/>
      <c r="L94" s="589"/>
      <c r="M94" s="589"/>
      <c r="N94" s="589"/>
      <c r="O94" s="589"/>
      <c r="P94" s="589"/>
      <c r="Q94" s="589"/>
      <c r="R94" s="589"/>
      <c r="S94" s="589"/>
      <c r="T94" s="589"/>
      <c r="U94" s="589"/>
      <c r="V94" s="587"/>
      <c r="W94" s="886"/>
    </row>
    <row r="95" spans="1:24" ht="15" thickTop="1" x14ac:dyDescent="0.35">
      <c r="I95" s="591">
        <f>'Tariff SUMMARY 26-27'!C25-'Tariff Rand Values Old'!I91</f>
        <v>1153562901.9205594</v>
      </c>
      <c r="J95" s="589"/>
      <c r="K95" s="589"/>
      <c r="L95" s="589"/>
      <c r="M95" s="589"/>
      <c r="N95" s="589"/>
      <c r="O95" s="589"/>
      <c r="P95" s="589"/>
      <c r="Q95" s="589"/>
      <c r="R95" s="589"/>
      <c r="S95" s="589"/>
      <c r="T95" s="589"/>
      <c r="U95" s="589"/>
      <c r="V95" s="587"/>
      <c r="W95" s="886"/>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E881-FDA8-4F78-8870-69D8E23BBCA4}">
  <sheetPr>
    <tabColor rgb="FF00FF00"/>
    <pageSetUpPr fitToPage="1"/>
  </sheetPr>
  <dimension ref="A1:AB114"/>
  <sheetViews>
    <sheetView view="pageBreakPreview" zoomScaleNormal="100" zoomScaleSheetLayoutView="100" workbookViewId="0">
      <pane ySplit="1" topLeftCell="A2" activePane="bottomLeft" state="frozen"/>
      <selection pane="bottomLeft" activeCell="M61" sqref="M61"/>
    </sheetView>
  </sheetViews>
  <sheetFormatPr defaultColWidth="8.6328125" defaultRowHeight="14.5" x14ac:dyDescent="0.35"/>
  <cols>
    <col min="1" max="1" width="19.36328125" style="245" customWidth="1"/>
    <col min="2" max="2" width="13.6328125" style="245" customWidth="1"/>
    <col min="3" max="3" width="56.54296875" style="245" hidden="1" customWidth="1"/>
    <col min="4" max="4" width="58" style="245" hidden="1" customWidth="1"/>
    <col min="5" max="5" width="56.54296875" style="245" hidden="1" customWidth="1"/>
    <col min="6" max="6" width="58.6328125" style="245" hidden="1" customWidth="1"/>
    <col min="7" max="7" width="21.6328125" style="245" hidden="1" customWidth="1"/>
    <col min="8" max="8" width="20.6328125" style="245" hidden="1" customWidth="1"/>
    <col min="9" max="9" width="15.36328125" style="587" bestFit="1" customWidth="1"/>
    <col min="10" max="21" width="14.90625" style="594" bestFit="1" customWidth="1"/>
    <col min="22" max="22" width="16.90625" style="594" customWidth="1"/>
    <col min="23" max="23" width="14.90625" style="594" customWidth="1"/>
    <col min="24" max="24" width="14.453125" style="245" hidden="1" customWidth="1"/>
    <col min="25" max="25" width="8.6328125" style="245"/>
    <col min="26" max="26" width="15.6328125" style="245" bestFit="1" customWidth="1"/>
    <col min="27" max="27" width="14.36328125" style="245" bestFit="1" customWidth="1"/>
    <col min="28" max="28" width="15.453125" style="245" bestFit="1" customWidth="1"/>
    <col min="29" max="16384" width="8.6328125" style="245"/>
  </cols>
  <sheetData>
    <row r="1" spans="1:28" s="247" customFormat="1" x14ac:dyDescent="0.35">
      <c r="A1" s="247" t="s">
        <v>531</v>
      </c>
      <c r="B1" s="247" t="s">
        <v>532</v>
      </c>
      <c r="C1" s="247" t="s">
        <v>548</v>
      </c>
      <c r="D1" s="247" t="s">
        <v>549</v>
      </c>
      <c r="E1" s="247" t="s">
        <v>548</v>
      </c>
      <c r="F1" s="247" t="s">
        <v>549</v>
      </c>
      <c r="G1" s="247" t="s">
        <v>1429</v>
      </c>
      <c r="H1" s="247" t="s">
        <v>1429</v>
      </c>
      <c r="I1" s="1042" t="s">
        <v>282</v>
      </c>
      <c r="J1" s="585" t="s">
        <v>521</v>
      </c>
      <c r="K1" s="585" t="s">
        <v>522</v>
      </c>
      <c r="L1" s="585" t="s">
        <v>523</v>
      </c>
      <c r="M1" s="585" t="s">
        <v>524</v>
      </c>
      <c r="N1" s="585" t="s">
        <v>525</v>
      </c>
      <c r="O1" s="585" t="s">
        <v>526</v>
      </c>
      <c r="P1" s="585" t="s">
        <v>527</v>
      </c>
      <c r="Q1" s="585" t="s">
        <v>528</v>
      </c>
      <c r="R1" s="585" t="s">
        <v>540</v>
      </c>
      <c r="S1" s="585" t="s">
        <v>541</v>
      </c>
      <c r="T1" s="585" t="s">
        <v>529</v>
      </c>
      <c r="U1" s="585" t="s">
        <v>530</v>
      </c>
      <c r="V1" s="586" t="s">
        <v>281</v>
      </c>
      <c r="W1" s="586" t="s">
        <v>280</v>
      </c>
    </row>
    <row r="2" spans="1:28" ht="15" thickBot="1" x14ac:dyDescent="0.4">
      <c r="A2" s="247" t="s">
        <v>1520</v>
      </c>
      <c r="I2" s="1060">
        <f>SUM(I3:I5)</f>
        <v>163005297.90900588</v>
      </c>
      <c r="J2" s="1031"/>
      <c r="K2" s="1031"/>
      <c r="L2" s="1031"/>
      <c r="M2" s="1031"/>
      <c r="N2" s="1031"/>
      <c r="O2" s="1031"/>
      <c r="P2" s="1031"/>
      <c r="Q2" s="1031"/>
      <c r="R2" s="1031"/>
      <c r="S2" s="1031"/>
      <c r="T2" s="1031"/>
      <c r="U2" s="1031"/>
      <c r="V2" s="611"/>
      <c r="W2" s="611"/>
    </row>
    <row r="3" spans="1:28" ht="15" thickTop="1" x14ac:dyDescent="0.35">
      <c r="A3" s="1035" t="s">
        <v>309</v>
      </c>
      <c r="B3" s="1035" t="s">
        <v>307</v>
      </c>
      <c r="C3" s="1035" t="s">
        <v>824</v>
      </c>
      <c r="D3" s="1035" t="s">
        <v>825</v>
      </c>
      <c r="E3" s="1035" t="s">
        <v>824</v>
      </c>
      <c r="F3" s="1035" t="s">
        <v>825</v>
      </c>
      <c r="G3" s="1035"/>
      <c r="H3" s="1035"/>
      <c r="I3" s="1043">
        <f>SUM(J3:U3)</f>
        <v>53990615.045618296</v>
      </c>
      <c r="J3" s="1037">
        <f>'Tariff SUMMARY 26-27'!$B$6*'Annexure A'!$P$6*50</f>
        <v>5353476.6614544494</v>
      </c>
      <c r="K3" s="1037">
        <f>'Tariff SUMMARY 26-27'!$B$6*'Annexure A'!$P$6*50</f>
        <v>5353476.6614544494</v>
      </c>
      <c r="L3" s="1037">
        <f>'Tariff SUMMARY 26-27'!$B$6*'Annexure A'!$O$6*50</f>
        <v>4214465.0068061072</v>
      </c>
      <c r="M3" s="1037">
        <f>'Tariff SUMMARY 26-27'!$B$6*'Annexure A'!$O$6*50</f>
        <v>4214465.0068061072</v>
      </c>
      <c r="N3" s="1037">
        <f>'Tariff SUMMARY 26-27'!$B$6*'Annexure A'!$O$6*50</f>
        <v>4214465.0068061072</v>
      </c>
      <c r="O3" s="1037">
        <f>'Tariff SUMMARY 26-27'!$B$6*'Annexure A'!$O$6*50</f>
        <v>4214465.0068061072</v>
      </c>
      <c r="P3" s="1037">
        <f>'Tariff SUMMARY 26-27'!$B$6*'Annexure A'!$O$6*50</f>
        <v>4214465.0068061072</v>
      </c>
      <c r="Q3" s="1037">
        <f>'Tariff SUMMARY 26-27'!$B$6*'Annexure A'!$O$6*50</f>
        <v>4214465.0068061072</v>
      </c>
      <c r="R3" s="1037">
        <f>'Tariff SUMMARY 26-27'!$B$6*'Annexure A'!$O$6*50</f>
        <v>4214465.0068061072</v>
      </c>
      <c r="S3" s="1037">
        <f>'Tariff SUMMARY 26-27'!$B$6*'Annexure A'!$O$6*50</f>
        <v>4214465.0068061072</v>
      </c>
      <c r="T3" s="1037">
        <f>'Tariff SUMMARY 26-27'!$B$6*'Annexure A'!$O$6*50</f>
        <v>4214465.0068061072</v>
      </c>
      <c r="U3" s="1037">
        <f>'Tariff SUMMARY 26-27'!$B$6*'Annexure A'!$P$6*50</f>
        <v>5353476.6614544494</v>
      </c>
      <c r="V3" s="1037">
        <f>SUM(L3:T3)</f>
        <v>37930185.061254956</v>
      </c>
      <c r="W3" s="1037">
        <f>U3+J3+K3</f>
        <v>16060429.984363347</v>
      </c>
      <c r="Z3" s="685">
        <f>V3+V7</f>
        <v>37931912.694370933</v>
      </c>
      <c r="AA3" s="685">
        <f>W3+W7</f>
        <v>16061161.500190465</v>
      </c>
      <c r="AB3" s="1032">
        <f>SUM(Z3:AA3)</f>
        <v>53993074.1945614</v>
      </c>
    </row>
    <row r="4" spans="1:28" x14ac:dyDescent="0.35">
      <c r="A4" s="1035" t="s">
        <v>309</v>
      </c>
      <c r="B4" s="1035" t="s">
        <v>307</v>
      </c>
      <c r="C4" s="1035" t="s">
        <v>824</v>
      </c>
      <c r="D4" s="1035" t="s">
        <v>825</v>
      </c>
      <c r="E4" s="1035" t="s">
        <v>824</v>
      </c>
      <c r="F4" s="1035" t="s">
        <v>825</v>
      </c>
      <c r="G4" s="1035"/>
      <c r="H4" s="1035"/>
      <c r="I4" s="1043">
        <f>SUM(J4:U4)</f>
        <v>68552040.203527242</v>
      </c>
      <c r="J4" s="1036">
        <f>(TariffRandValues2324Reworked!J4*'MSCOA - Tariff Structure'!$R$2)+TariffRandValues2324Reworked!J4</f>
        <v>7073753.5529496605</v>
      </c>
      <c r="K4" s="1036">
        <f>(TariffRandValues2324Reworked!K4*'MSCOA - Tariff Structure'!$R$2)+TariffRandValues2324Reworked!K4</f>
        <v>4084249.8577979812</v>
      </c>
      <c r="L4" s="1036">
        <f>(TariffRandValues2324Reworked!L4*'MSCOA - Tariff Structure'!$R$2)+TariffRandValues2324Reworked!L4</f>
        <v>4261859.4519472662</v>
      </c>
      <c r="M4" s="1036">
        <f>(TariffRandValues2324Reworked!M4*'MSCOA - Tariff Structure'!$R$2)+TariffRandValues2324Reworked!M4</f>
        <v>4177372.7905521584</v>
      </c>
      <c r="N4" s="1036">
        <f>(TariffRandValues2324Reworked!N4*'MSCOA - Tariff Structure'!$R$2)+TariffRandValues2324Reworked!N4</f>
        <v>3520943.252971916</v>
      </c>
      <c r="O4" s="1036">
        <f>(TariffRandValues2324Reworked!O4*'MSCOA - Tariff Structure'!$R$2)+TariffRandValues2324Reworked!O4</f>
        <v>6290176.9758534003</v>
      </c>
      <c r="P4" s="1036">
        <f>(TariffRandValues2324Reworked!P4*'MSCOA - Tariff Structure'!$R$2)+TariffRandValues2324Reworked!P4</f>
        <v>5840354.3671265151</v>
      </c>
      <c r="Q4" s="1036">
        <f>(TariffRandValues2324Reworked!Q4*'MSCOA - Tariff Structure'!$R$2)+TariffRandValues2324Reworked!Q4</f>
        <v>5734355.9329967555</v>
      </c>
      <c r="R4" s="1036">
        <f>(TariffRandValues2324Reworked!R4*'MSCOA - Tariff Structure'!$R$2)+TariffRandValues2324Reworked!R4</f>
        <v>6414268.3814281374</v>
      </c>
      <c r="S4" s="1036">
        <f>(TariffRandValues2324Reworked!S4*'MSCOA - Tariff Structure'!$R$2)+TariffRandValues2324Reworked!S4</f>
        <v>6286657.6956319623</v>
      </c>
      <c r="T4" s="1036">
        <f>(TariffRandValues2324Reworked!T4*'MSCOA - Tariff Structure'!$R$2)+TariffRandValues2324Reworked!T4</f>
        <v>6601376.3289527334</v>
      </c>
      <c r="U4" s="1036">
        <f>(TariffRandValues2324Reworked!U4*'MSCOA - Tariff Structure'!$R$2)+TariffRandValues2324Reworked!U4</f>
        <v>8266671.6153187677</v>
      </c>
      <c r="V4" s="1036">
        <f>SUM(L4:T4)</f>
        <v>49127365.177460849</v>
      </c>
      <c r="W4" s="1036">
        <f>U4+J4+K4</f>
        <v>19424675.026066408</v>
      </c>
      <c r="X4" s="245">
        <f>+W4+V4+V5+W5+V8+V9+W8+W9</f>
        <v>109095856.8450959</v>
      </c>
    </row>
    <row r="5" spans="1:28" x14ac:dyDescent="0.35">
      <c r="A5" s="1035" t="s">
        <v>309</v>
      </c>
      <c r="B5" s="1035" t="s">
        <v>307</v>
      </c>
      <c r="C5" s="1035" t="s">
        <v>824</v>
      </c>
      <c r="D5" s="1035" t="s">
        <v>825</v>
      </c>
      <c r="E5" s="1035"/>
      <c r="F5" s="1035"/>
      <c r="G5" s="1035"/>
      <c r="H5" s="1035"/>
      <c r="I5" s="1043">
        <f>SUM(J5:U5)</f>
        <v>40462642.659860328</v>
      </c>
      <c r="J5" s="1036">
        <f>(TariffRandValues2324Reworked!J5*'MSCOA - Tariff Structure'!$R$2)+TariffRandValues2324Reworked!J5</f>
        <v>6350113.4153828854</v>
      </c>
      <c r="K5" s="1036">
        <f>(TariffRandValues2324Reworked!K5*'MSCOA - Tariff Structure'!$R$2)+TariffRandValues2324Reworked!K5</f>
        <v>726013.56268014724</v>
      </c>
      <c r="L5" s="1036">
        <f>(TariffRandValues2324Reworked!L5*'MSCOA - Tariff Structure'!$R$2)+TariffRandValues2324Reworked!L5</f>
        <v>2321906.0054012802</v>
      </c>
      <c r="M5" s="1036">
        <f>(TariffRandValues2324Reworked!M5*'MSCOA - Tariff Structure'!$R$2)+TariffRandValues2324Reworked!M5</f>
        <v>2568679.7624547333</v>
      </c>
      <c r="N5" s="1036">
        <f>(TariffRandValues2324Reworked!N5*'MSCOA - Tariff Structure'!$R$2)+TariffRandValues2324Reworked!N5</f>
        <v>2556669.6345145213</v>
      </c>
      <c r="O5" s="1036">
        <f>(TariffRandValues2324Reworked!O5*'MSCOA - Tariff Structure'!$R$2)+TariffRandValues2324Reworked!O5</f>
        <v>3678483.2130957716</v>
      </c>
      <c r="P5" s="1036">
        <f>(TariffRandValues2324Reworked!P5*'MSCOA - Tariff Structure'!$R$2)+TariffRandValues2324Reworked!P5</f>
        <v>3415412.9982187347</v>
      </c>
      <c r="Q5" s="1036">
        <f>(TariffRandValues2324Reworked!Q5*'MSCOA - Tariff Structure'!$R$2)+TariffRandValues2324Reworked!Q5</f>
        <v>3353838.2839655844</v>
      </c>
      <c r="R5" s="1036">
        <f>(TariffRandValues2324Reworked!R5*'MSCOA - Tariff Structure'!$R$2)+TariffRandValues2324Reworked!R5</f>
        <v>3751368.0501163551</v>
      </c>
      <c r="S5" s="1036">
        <f>(TariffRandValues2324Reworked!S5*'MSCOA - Tariff Structure'!$R$2)+TariffRandValues2324Reworked!S5</f>
        <v>3676633.1463167481</v>
      </c>
      <c r="T5" s="1036">
        <f>(TariffRandValues2324Reworked!T5*'MSCOA - Tariff Structure'!$R$2)+TariffRandValues2324Reworked!T5</f>
        <v>3860586.342456948</v>
      </c>
      <c r="U5" s="1036">
        <f>(TariffRandValues2324Reworked!U5*'MSCOA - Tariff Structure'!$R$2)+TariffRandValues2324Reworked!U5</f>
        <v>4202938.2452566214</v>
      </c>
      <c r="V5" s="1036">
        <f>SUM(L5:T5)</f>
        <v>29183577.436540678</v>
      </c>
      <c r="W5" s="1036">
        <f>U5+J5+K5</f>
        <v>11279065.223319653</v>
      </c>
    </row>
    <row r="6" spans="1:28" ht="15" thickBot="1" x14ac:dyDescent="0.4">
      <c r="A6" s="247" t="s">
        <v>1521</v>
      </c>
      <c r="I6" s="1060">
        <f>SUM(I7:I9)</f>
        <v>83633.130651415646</v>
      </c>
      <c r="J6" s="1031"/>
      <c r="K6" s="1031"/>
      <c r="L6" s="1031"/>
      <c r="M6" s="1031"/>
      <c r="N6" s="1031"/>
      <c r="O6" s="1031"/>
      <c r="P6" s="1031"/>
      <c r="Q6" s="1031"/>
      <c r="R6" s="1031"/>
      <c r="S6" s="1031"/>
      <c r="T6" s="1031"/>
      <c r="U6" s="1031"/>
      <c r="V6" s="611">
        <f>V5+V4+V3</f>
        <v>116241127.67525649</v>
      </c>
      <c r="W6" s="611">
        <f>W5+W4+W3</f>
        <v>46764170.233749405</v>
      </c>
    </row>
    <row r="7" spans="1:28" ht="15" thickTop="1" x14ac:dyDescent="0.35">
      <c r="A7" s="1035" t="s">
        <v>309</v>
      </c>
      <c r="B7" s="1035" t="s">
        <v>307</v>
      </c>
      <c r="C7" s="1035" t="s">
        <v>824</v>
      </c>
      <c r="D7" s="1035" t="s">
        <v>825</v>
      </c>
      <c r="E7" s="1035" t="s">
        <v>824</v>
      </c>
      <c r="F7" s="1035" t="s">
        <v>825</v>
      </c>
      <c r="G7" s="1035"/>
      <c r="H7" s="1035"/>
      <c r="I7" s="1043">
        <f>SUM(J7:U7)</f>
        <v>2459.148943093523</v>
      </c>
      <c r="J7" s="1037">
        <f>2*'Annexure A'!$P$6*50</f>
        <v>243.83860903914595</v>
      </c>
      <c r="K7" s="1037">
        <f>2*'Annexure A'!$P$6*50</f>
        <v>243.83860903914595</v>
      </c>
      <c r="L7" s="1037">
        <f>2*'Annexure A'!$O$6*50</f>
        <v>191.95923510845398</v>
      </c>
      <c r="M7" s="1037">
        <f>2*'Annexure A'!$O$6*50</f>
        <v>191.95923510845398</v>
      </c>
      <c r="N7" s="1037">
        <f>2*'Annexure A'!$O$6*50</f>
        <v>191.95923510845398</v>
      </c>
      <c r="O7" s="1037">
        <f>2*'Annexure A'!$O$6*50</f>
        <v>191.95923510845398</v>
      </c>
      <c r="P7" s="1037">
        <f>2*'Annexure A'!$O$6*50</f>
        <v>191.95923510845398</v>
      </c>
      <c r="Q7" s="1037">
        <f>2*'Annexure A'!$O$6*50</f>
        <v>191.95923510845398</v>
      </c>
      <c r="R7" s="1037">
        <f>2*'Annexure A'!$O$6*50</f>
        <v>191.95923510845398</v>
      </c>
      <c r="S7" s="1037">
        <f>2*'Annexure A'!$O$6*50</f>
        <v>191.95923510845398</v>
      </c>
      <c r="T7" s="1037">
        <f>2*'Annexure A'!$O$6*50</f>
        <v>191.95923510845398</v>
      </c>
      <c r="U7" s="1037">
        <f>2*'Annexure A'!$P$6*50</f>
        <v>243.83860903914595</v>
      </c>
      <c r="V7" s="1037">
        <f>SUM(L7:T7)</f>
        <v>1727.6331159760857</v>
      </c>
      <c r="W7" s="1037">
        <f>U7+J7+K7</f>
        <v>731.51582711743788</v>
      </c>
      <c r="X7" s="245">
        <f>+W7+V7</f>
        <v>2459.1489430935235</v>
      </c>
    </row>
    <row r="8" spans="1:28" x14ac:dyDescent="0.35">
      <c r="A8" s="1035" t="s">
        <v>309</v>
      </c>
      <c r="B8" s="1035" t="s">
        <v>307</v>
      </c>
      <c r="C8" s="1035" t="s">
        <v>824</v>
      </c>
      <c r="D8" s="1035" t="s">
        <v>825</v>
      </c>
      <c r="E8" s="1035" t="s">
        <v>824</v>
      </c>
      <c r="F8" s="1035" t="s">
        <v>825</v>
      </c>
      <c r="G8" s="1035"/>
      <c r="H8" s="1035"/>
      <c r="I8" s="1043">
        <f>SUM(J8:U8)</f>
        <v>44049.747099820299</v>
      </c>
      <c r="J8" s="1036">
        <f>(TariffRandValues2324Reworked!J8*'MSCOA - Tariff Structure'!$R$2)+TariffRandValues2324Reworked!J8</f>
        <v>7031.9934250929336</v>
      </c>
      <c r="K8" s="1036">
        <f>(TariffRandValues2324Reworked!K8*'MSCOA - Tariff Structure'!$R$2)+TariffRandValues2324Reworked!K8</f>
        <v>7010.3327192730658</v>
      </c>
      <c r="L8" s="1036">
        <f>(TariffRandValues2324Reworked!L8*'MSCOA - Tariff Structure'!$R$2)+TariffRandValues2324Reworked!L8</f>
        <v>3610.7032734120085</v>
      </c>
      <c r="M8" s="1036">
        <f>(TariffRandValues2324Reworked!M8*'MSCOA - Tariff Structure'!$R$2)+TariffRandValues2324Reworked!M8</f>
        <v>3244.8043960590117</v>
      </c>
      <c r="N8" s="1036">
        <f>(TariffRandValues2324Reworked!N8*'MSCOA - Tariff Structure'!$R$2)+TariffRandValues2324Reworked!N8</f>
        <v>3587.9696332786521</v>
      </c>
      <c r="O8" s="1036">
        <f>(TariffRandValues2324Reworked!O8*'MSCOA - Tariff Structure'!$R$2)+TariffRandValues2324Reworked!O8</f>
        <v>3244.8043960590117</v>
      </c>
      <c r="P8" s="1036">
        <f>(TariffRandValues2324Reworked!P8*'MSCOA - Tariff Structure'!$R$2)+TariffRandValues2324Reworked!P8</f>
        <v>3297.3172259538323</v>
      </c>
      <c r="Q8" s="1036">
        <f>(TariffRandValues2324Reworked!Q8*'MSCOA - Tariff Structure'!$R$2)+TariffRandValues2324Reworked!Q8</f>
        <v>3224.0435098215248</v>
      </c>
      <c r="R8" s="1036">
        <f>(TariffRandValues2324Reworked!R8*'MSCOA - Tariff Structure'!$R$2)+TariffRandValues2324Reworked!R8</f>
        <v>3175.1943657333195</v>
      </c>
      <c r="S8" s="1036">
        <f>(TariffRandValues2324Reworked!S8*'MSCOA - Tariff Structure'!$R$2)+TariffRandValues2324Reworked!S8</f>
        <v>3126.3452216451151</v>
      </c>
      <c r="T8" s="1036">
        <f>(TariffRandValues2324Reworked!T8*'MSCOA - Tariff Structure'!$R$2)+TariffRandValues2324Reworked!T8</f>
        <v>2341.0012897655124</v>
      </c>
      <c r="U8" s="1036">
        <f>(TariffRandValues2324Reworked!U8*'MSCOA - Tariff Structure'!$R$2)+TariffRandValues2324Reworked!U8</f>
        <v>1155.2376437263054</v>
      </c>
      <c r="V8" s="1036">
        <f>SUM(L8:T8)</f>
        <v>28852.183311727989</v>
      </c>
      <c r="W8" s="1036">
        <f>U8+J8+K8</f>
        <v>15197.563788092306</v>
      </c>
      <c r="X8" s="245">
        <f>+V8+W8</f>
        <v>44049.747099820292</v>
      </c>
    </row>
    <row r="9" spans="1:28" x14ac:dyDescent="0.35">
      <c r="A9" s="1035" t="s">
        <v>309</v>
      </c>
      <c r="B9" s="1035" t="s">
        <v>307</v>
      </c>
      <c r="C9" s="1035" t="s">
        <v>824</v>
      </c>
      <c r="D9" s="1035" t="s">
        <v>825</v>
      </c>
      <c r="E9" s="1035"/>
      <c r="F9" s="1035"/>
      <c r="G9" s="1035"/>
      <c r="H9" s="1035"/>
      <c r="I9" s="1043">
        <f>SUM(J9:U9)</f>
        <v>37124.234608501822</v>
      </c>
      <c r="J9" s="1036">
        <f>(TariffRandValues2324Reworked!J9*'MSCOA - Tariff Structure'!$R$2)+TariffRandValues2324Reworked!J9</f>
        <v>5565.6495119639594</v>
      </c>
      <c r="K9" s="1036">
        <f>(TariffRandValues2324Reworked!K9*'MSCOA - Tariff Structure'!$R$2)+TariffRandValues2324Reworked!K9</f>
        <v>5575.1933522245417</v>
      </c>
      <c r="L9" s="1036">
        <f>(TariffRandValues2324Reworked!L9*'MSCOA - Tariff Structure'!$R$2)+TariffRandValues2324Reworked!L9</f>
        <v>3302.2256255280795</v>
      </c>
      <c r="M9" s="1036">
        <f>(TariffRandValues2324Reworked!M9*'MSCOA - Tariff Structure'!$R$2)+TariffRandValues2324Reworked!M9</f>
        <v>3059.6863831562191</v>
      </c>
      <c r="N9" s="1036">
        <f>(TariffRandValues2324Reworked!N9*'MSCOA - Tariff Structure'!$R$2)+TariffRandValues2324Reworked!N9</f>
        <v>2633.0634451997962</v>
      </c>
      <c r="O9" s="1036">
        <f>(TariffRandValues2324Reworked!O9*'MSCOA - Tariff Structure'!$R$2)+TariffRandValues2324Reworked!O9</f>
        <v>2833.0429473668701</v>
      </c>
      <c r="P9" s="1036">
        <f>(TariffRandValues2324Reworked!P9*'MSCOA - Tariff Structure'!$R$2)+TariffRandValues2324Reworked!P9</f>
        <v>2499.7437770884144</v>
      </c>
      <c r="Q9" s="1036">
        <f>(TariffRandValues2324Reworked!Q9*'MSCOA - Tariff Structure'!$R$2)+TariffRandValues2324Reworked!Q9</f>
        <v>2099.784772754268</v>
      </c>
      <c r="R9" s="1036">
        <f>(TariffRandValues2324Reworked!R9*'MSCOA - Tariff Structure'!$R$2)+TariffRandValues2324Reworked!R9</f>
        <v>3332.9917027845531</v>
      </c>
      <c r="S9" s="1036">
        <f>(TariffRandValues2324Reworked!S9*'MSCOA - Tariff Structure'!$R$2)+TariffRandValues2324Reworked!S9</f>
        <v>3332.9917027845531</v>
      </c>
      <c r="T9" s="1036">
        <f>(TariffRandValues2324Reworked!T9*'MSCOA - Tariff Structure'!$R$2)+TariffRandValues2324Reworked!T9</f>
        <v>1972.1844395174862</v>
      </c>
      <c r="U9" s="1036">
        <f>(TariffRandValues2324Reworked!U9*'MSCOA - Tariff Structure'!$R$2)+TariffRandValues2324Reworked!U9</f>
        <v>917.67694813308606</v>
      </c>
      <c r="V9" s="1036">
        <f>SUM(L9:T9)</f>
        <v>25065.71479618024</v>
      </c>
      <c r="W9" s="1036">
        <f>U9+J9+K9</f>
        <v>12058.519812321587</v>
      </c>
      <c r="X9" s="245">
        <f>+V9+W9</f>
        <v>37124.234608501829</v>
      </c>
    </row>
    <row r="10" spans="1:28" ht="15" thickBot="1" x14ac:dyDescent="0.4">
      <c r="A10" s="247" t="s">
        <v>1484</v>
      </c>
      <c r="I10" s="1060">
        <f>SUM(I11:I12)</f>
        <v>1587978836.7544515</v>
      </c>
      <c r="J10" s="1031"/>
      <c r="K10" s="1031"/>
      <c r="L10" s="1031"/>
      <c r="M10" s="1031"/>
      <c r="N10" s="1031"/>
      <c r="O10" s="1031"/>
      <c r="P10" s="1031"/>
      <c r="Q10" s="1031"/>
      <c r="R10" s="1031"/>
      <c r="S10" s="1031"/>
      <c r="T10" s="1031"/>
      <c r="U10" s="1031"/>
      <c r="V10" s="611">
        <f>V9+V8+V7</f>
        <v>55645.531223884318</v>
      </c>
      <c r="W10" s="611">
        <f>W9+W8+W7</f>
        <v>27987.599427531328</v>
      </c>
      <c r="X10" s="245">
        <f>+X9+X8</f>
        <v>81173.981708322128</v>
      </c>
    </row>
    <row r="11" spans="1:28" ht="15" thickTop="1" x14ac:dyDescent="0.35">
      <c r="A11" s="1035" t="s">
        <v>305</v>
      </c>
      <c r="B11" s="1035" t="s">
        <v>252</v>
      </c>
      <c r="C11" s="1035" t="s">
        <v>1042</v>
      </c>
      <c r="D11" s="1035" t="s">
        <v>1045</v>
      </c>
      <c r="E11" s="1035" t="s">
        <v>1042</v>
      </c>
      <c r="F11" s="1035" t="s">
        <v>1045</v>
      </c>
      <c r="G11" s="1035"/>
      <c r="H11" s="1035"/>
      <c r="I11" s="1043">
        <f>SUM(J11:U11)</f>
        <v>1198091622.1781287</v>
      </c>
      <c r="J11" s="1036">
        <f>(TariffRandValues2324Reworked!J11*'MSCOA - Tariff Structure'!$R$2)+TariffRandValues2324Reworked!J11</f>
        <v>125161855.04487543</v>
      </c>
      <c r="K11" s="1036">
        <f>(TariffRandValues2324Reworked!K11*'MSCOA - Tariff Structure'!$R$2)+TariffRandValues2324Reworked!K11</f>
        <v>122557547.09609145</v>
      </c>
      <c r="L11" s="1036">
        <f>(TariffRandValues2324Reworked!L11*'MSCOA - Tariff Structure'!$R$2)+TariffRandValues2324Reworked!L11</f>
        <v>114287409.01603594</v>
      </c>
      <c r="M11" s="1036">
        <f>(TariffRandValues2324Reworked!M11*'MSCOA - Tariff Structure'!$R$2)+TariffRandValues2324Reworked!M11</f>
        <v>114969156.33104527</v>
      </c>
      <c r="N11" s="1036">
        <f>(TariffRandValues2324Reworked!N11*'MSCOA - Tariff Structure'!$R$2)+TariffRandValues2324Reworked!N11</f>
        <v>115332150.1966051</v>
      </c>
      <c r="O11" s="1036">
        <f>(TariffRandValues2324Reworked!O11*'MSCOA - Tariff Structure'!$R$2)+TariffRandValues2324Reworked!O11</f>
        <v>112681175.94252259</v>
      </c>
      <c r="P11" s="1036">
        <f>(TariffRandValues2324Reworked!P11*'MSCOA - Tariff Structure'!$R$2)+TariffRandValues2324Reworked!P11</f>
        <v>107679506.65552109</v>
      </c>
      <c r="Q11" s="1036">
        <f>(TariffRandValues2324Reworked!Q11*'MSCOA - Tariff Structure'!$R$2)+TariffRandValues2324Reworked!Q11</f>
        <v>51809980.809560753</v>
      </c>
      <c r="R11" s="1036">
        <f>(TariffRandValues2324Reworked!R11*'MSCOA - Tariff Structure'!$R$2)+TariffRandValues2324Reworked!R11</f>
        <v>51977238.137756459</v>
      </c>
      <c r="S11" s="1036">
        <f>(TariffRandValues2324Reworked!S11*'MSCOA - Tariff Structure'!$R$2)+TariffRandValues2324Reworked!S11</f>
        <v>50600059.193969764</v>
      </c>
      <c r="T11" s="1036">
        <f>(TariffRandValues2324Reworked!T11*'MSCOA - Tariff Structure'!$R$2)+TariffRandValues2324Reworked!T11</f>
        <v>116661376.46730188</v>
      </c>
      <c r="U11" s="1036">
        <f>(TariffRandValues2324Reworked!U11*'MSCOA - Tariff Structure'!$R$2)+TariffRandValues2324Reworked!U11</f>
        <v>114374167.28684291</v>
      </c>
      <c r="V11" s="1036">
        <f>SUM(L11:T11)</f>
        <v>835998052.75031888</v>
      </c>
      <c r="W11" s="1036">
        <f>U11+J11+K11</f>
        <v>362093569.42780977</v>
      </c>
    </row>
    <row r="12" spans="1:28" x14ac:dyDescent="0.35">
      <c r="A12" s="1035" t="s">
        <v>305</v>
      </c>
      <c r="B12" s="1035" t="s">
        <v>252</v>
      </c>
      <c r="C12" s="1035" t="s">
        <v>1042</v>
      </c>
      <c r="D12" s="1035" t="s">
        <v>1045</v>
      </c>
      <c r="E12" s="1035" t="s">
        <v>1042</v>
      </c>
      <c r="F12" s="1035" t="s">
        <v>1045</v>
      </c>
      <c r="G12" s="1035"/>
      <c r="H12" s="1035"/>
      <c r="I12" s="1043">
        <f>SUM(J12:U12)</f>
        <v>389887214.57632279</v>
      </c>
      <c r="J12" s="1036">
        <f>(TariffRandValues2324Reworked!J12*'MSCOA - Tariff Structure'!$R$2)+TariffRandValues2324Reworked!J12</f>
        <v>35915113.733526677</v>
      </c>
      <c r="K12" s="1036">
        <f>(TariffRandValues2324Reworked!K12*'MSCOA - Tariff Structure'!$R$2)+TariffRandValues2324Reworked!K12</f>
        <v>35382837.273111686</v>
      </c>
      <c r="L12" s="1036">
        <f>(TariffRandValues2324Reworked!L12*'MSCOA - Tariff Structure'!$R$2)+TariffRandValues2324Reworked!L12</f>
        <v>27708221.933984466</v>
      </c>
      <c r="M12" s="1036">
        <f>(TariffRandValues2324Reworked!M12*'MSCOA - Tariff Structure'!$R$2)+TariffRandValues2324Reworked!M12</f>
        <v>26672677.5049178</v>
      </c>
      <c r="N12" s="1036">
        <f>(TariffRandValues2324Reworked!N12*'MSCOA - Tariff Structure'!$R$2)+TariffRandValues2324Reworked!N12</f>
        <v>26716578.788559303</v>
      </c>
      <c r="O12" s="1036">
        <f>(TariffRandValues2324Reworked!O12*'MSCOA - Tariff Structure'!$R$2)+TariffRandValues2324Reworked!O12</f>
        <v>26422406.853884809</v>
      </c>
      <c r="P12" s="1036">
        <f>(TariffRandValues2324Reworked!P12*'MSCOA - Tariff Structure'!$R$2)+TariffRandValues2324Reworked!P12</f>
        <v>25015681.436713412</v>
      </c>
      <c r="Q12" s="1036">
        <f>(TariffRandValues2324Reworked!Q12*'MSCOA - Tariff Structure'!$R$2)+TariffRandValues2324Reworked!Q12</f>
        <v>23606956.396778096</v>
      </c>
      <c r="R12" s="1036">
        <f>(TariffRandValues2324Reworked!R12*'MSCOA - Tariff Structure'!$R$2)+TariffRandValues2324Reworked!R12</f>
        <v>26560180.018567707</v>
      </c>
      <c r="S12" s="1036">
        <f>(TariffRandValues2324Reworked!S12*'MSCOA - Tariff Structure'!$R$2)+TariffRandValues2324Reworked!S12</f>
        <v>28488000.473459318</v>
      </c>
      <c r="T12" s="1036">
        <f>(TariffRandValues2324Reworked!T12*'MSCOA - Tariff Structure'!$R$2)+TariffRandValues2324Reworked!T12</f>
        <v>32883584.89199128</v>
      </c>
      <c r="U12" s="1036">
        <f>(TariffRandValues2324Reworked!U12*'MSCOA - Tariff Structure'!$R$2)+TariffRandValues2324Reworked!U12</f>
        <v>74514975.270828262</v>
      </c>
      <c r="V12" s="1036">
        <f>SUM(L12:T12)</f>
        <v>244074288.29885623</v>
      </c>
      <c r="W12" s="1036">
        <f>U12+J12+K12</f>
        <v>145812926.27746662</v>
      </c>
    </row>
    <row r="13" spans="1:28" ht="15" thickBot="1" x14ac:dyDescent="0.4">
      <c r="A13" s="247" t="s">
        <v>1483</v>
      </c>
      <c r="I13" s="1060">
        <f>SUM(I14:I15)</f>
        <v>22442193.485619254</v>
      </c>
      <c r="J13" s="611"/>
      <c r="K13" s="611"/>
      <c r="L13" s="611"/>
      <c r="M13" s="637"/>
      <c r="N13" s="637"/>
      <c r="O13" s="637"/>
      <c r="P13" s="611"/>
      <c r="Q13" s="611"/>
      <c r="R13" s="611"/>
      <c r="S13" s="611"/>
      <c r="T13" s="611"/>
      <c r="U13" s="611"/>
      <c r="V13" s="611">
        <f>+V12+V11</f>
        <v>1080072341.049175</v>
      </c>
      <c r="W13" s="611">
        <f>+W12+W11</f>
        <v>507906495.70527637</v>
      </c>
    </row>
    <row r="14" spans="1:28" ht="15" thickTop="1" x14ac:dyDescent="0.35">
      <c r="A14" s="1035" t="s">
        <v>305</v>
      </c>
      <c r="B14" s="1035" t="s">
        <v>252</v>
      </c>
      <c r="C14" s="1035" t="s">
        <v>1042</v>
      </c>
      <c r="D14" s="1035" t="s">
        <v>1045</v>
      </c>
      <c r="E14" s="1035"/>
      <c r="F14" s="1035"/>
      <c r="G14" s="1035"/>
      <c r="H14" s="1035"/>
      <c r="I14" s="1043">
        <f>SUM(J14:U14)</f>
        <v>5577018.729019504</v>
      </c>
      <c r="J14" s="1036">
        <f>(TariffRandValues2324Reworked!J14*'MSCOA - Tariff Structure'!$R$2)+TariffRandValues2324Reworked!J14</f>
        <v>602982.43253145972</v>
      </c>
      <c r="K14" s="1036">
        <f>(TariffRandValues2324Reworked!K14*'MSCOA - Tariff Structure'!$R$2)+TariffRandValues2324Reworked!K14</f>
        <v>602982.43253145972</v>
      </c>
      <c r="L14" s="1036">
        <f>(TariffRandValues2324Reworked!L14*'MSCOA - Tariff Structure'!$R$2)+TariffRandValues2324Reworked!L14</f>
        <v>446060.3554046941</v>
      </c>
      <c r="M14" s="1036">
        <f>(TariffRandValues2324Reworked!M14*'MSCOA - Tariff Structure'!$R$2)+TariffRandValues2324Reworked!M14</f>
        <v>446060.3554046941</v>
      </c>
      <c r="N14" s="1036">
        <f>(TariffRandValues2324Reworked!N14*'MSCOA - Tariff Structure'!$R$2)+TariffRandValues2324Reworked!N14</f>
        <v>446060.3554046941</v>
      </c>
      <c r="O14" s="1036">
        <f>(TariffRandValues2324Reworked!O14*'MSCOA - Tariff Structure'!$R$2)+TariffRandValues2324Reworked!O14</f>
        <v>428446.44595968479</v>
      </c>
      <c r="P14" s="1036">
        <f>(TariffRandValues2324Reworked!P14*'MSCOA - Tariff Structure'!$R$2)+TariffRandValues2324Reworked!P14</f>
        <v>428446.44595968479</v>
      </c>
      <c r="Q14" s="1036">
        <f>(TariffRandValues2324Reworked!Q14*'MSCOA - Tariff Structure'!$R$2)+TariffRandValues2324Reworked!Q14</f>
        <v>423685.929893466</v>
      </c>
      <c r="R14" s="1036">
        <f>(TariffRandValues2324Reworked!R14*'MSCOA - Tariff Structure'!$R$2)+TariffRandValues2324Reworked!R14</f>
        <v>423685.929893466</v>
      </c>
      <c r="S14" s="1036">
        <f>(TariffRandValues2324Reworked!S14*'MSCOA - Tariff Structure'!$R$2)+TariffRandValues2324Reworked!S14</f>
        <v>423685.929893466</v>
      </c>
      <c r="T14" s="1036">
        <f>(TariffRandValues2324Reworked!T14*'MSCOA - Tariff Structure'!$R$2)+TariffRandValues2324Reworked!T14</f>
        <v>404643.8656285911</v>
      </c>
      <c r="U14" s="1036">
        <f>(TariffRandValues2324Reworked!U14*'MSCOA - Tariff Structure'!$R$2)+TariffRandValues2324Reworked!U14</f>
        <v>500278.25051414419</v>
      </c>
      <c r="V14" s="1036">
        <f>SUM(L14:T14)</f>
        <v>3870775.6134424419</v>
      </c>
      <c r="W14" s="1036">
        <f>U14+J14+K14</f>
        <v>1706243.1155770635</v>
      </c>
    </row>
    <row r="15" spans="1:28" x14ac:dyDescent="0.35">
      <c r="A15" s="1035" t="s">
        <v>305</v>
      </c>
      <c r="B15" s="1035" t="s">
        <v>252</v>
      </c>
      <c r="C15" s="1035" t="s">
        <v>1042</v>
      </c>
      <c r="D15" s="1035" t="s">
        <v>1045</v>
      </c>
      <c r="E15" s="1035"/>
      <c r="F15" s="1035"/>
      <c r="G15" s="1035"/>
      <c r="H15" s="1035"/>
      <c r="I15" s="1043">
        <f>SUM(J15:U15)</f>
        <v>16865174.75659975</v>
      </c>
      <c r="J15" s="1036">
        <f>(TariffRandValues2324Reworked!J15*'MSCOA - Tariff Structure'!$R$2)+TariffRandValues2324Reworked!J15</f>
        <v>1902195.2352659865</v>
      </c>
      <c r="K15" s="1036">
        <f>(TariffRandValues2324Reworked!K15*'MSCOA - Tariff Structure'!$R$2)+TariffRandValues2324Reworked!K15</f>
        <v>1041608.6656407046</v>
      </c>
      <c r="L15" s="1036">
        <f>(TariffRandValues2324Reworked!L15*'MSCOA - Tariff Structure'!$R$2)+TariffRandValues2324Reworked!L15</f>
        <v>1976100.2223863828</v>
      </c>
      <c r="M15" s="1036">
        <f>(TariffRandValues2324Reworked!M15*'MSCOA - Tariff Structure'!$R$2)+TariffRandValues2324Reworked!M15</f>
        <v>1960415.0188341571</v>
      </c>
      <c r="N15" s="1036">
        <f>(TariffRandValues2324Reworked!N15*'MSCOA - Tariff Structure'!$R$2)+TariffRandValues2324Reworked!N15</f>
        <v>1539165.7763419773</v>
      </c>
      <c r="O15" s="1036">
        <f>(TariffRandValues2324Reworked!O15*'MSCOA - Tariff Structure'!$R$2)+TariffRandValues2324Reworked!O15</f>
        <v>1643235.5053475283</v>
      </c>
      <c r="P15" s="1036">
        <f>(TariffRandValues2324Reworked!P15*'MSCOA - Tariff Structure'!$R$2)+TariffRandValues2324Reworked!P15</f>
        <v>1869039.2335032488</v>
      </c>
      <c r="Q15" s="1036">
        <f>(TariffRandValues2324Reworked!Q15*'MSCOA - Tariff Structure'!$R$2)+TariffRandValues2324Reworked!Q15</f>
        <v>808470.56210909598</v>
      </c>
      <c r="R15" s="1036">
        <f>(TariffRandValues2324Reworked!R15*'MSCOA - Tariff Structure'!$R$2)+TariffRandValues2324Reworked!R15</f>
        <v>1022499.2617501955</v>
      </c>
      <c r="S15" s="1036">
        <f>(TariffRandValues2324Reworked!S15*'MSCOA - Tariff Structure'!$R$2)+TariffRandValues2324Reworked!S15</f>
        <v>1006482.7481163505</v>
      </c>
      <c r="T15" s="1036">
        <f>(TariffRandValues2324Reworked!T15*'MSCOA - Tariff Structure'!$R$2)+TariffRandValues2324Reworked!T15</f>
        <v>689578.16954814934</v>
      </c>
      <c r="U15" s="1036">
        <f>(TariffRandValues2324Reworked!U15*'MSCOA - Tariff Structure'!$R$2)+TariffRandValues2324Reworked!U15</f>
        <v>1406384.3577559774</v>
      </c>
      <c r="V15" s="1036">
        <f>SUM(L15:T15)</f>
        <v>12514986.497937085</v>
      </c>
      <c r="W15" s="1036">
        <f>U15+J15+K15</f>
        <v>4350188.2586626681</v>
      </c>
    </row>
    <row r="16" spans="1:28" ht="15" thickBot="1" x14ac:dyDescent="0.4">
      <c r="A16" s="247" t="s">
        <v>537</v>
      </c>
      <c r="I16" s="1060">
        <f>SUM(I17:I20)</f>
        <v>451612.07149595337</v>
      </c>
      <c r="J16" s="1031"/>
      <c r="K16" s="1031"/>
      <c r="L16" s="1031"/>
      <c r="M16" s="1031"/>
      <c r="N16" s="1031"/>
      <c r="O16" s="1031"/>
      <c r="P16" s="1031"/>
      <c r="Q16" s="1031"/>
      <c r="R16" s="1031"/>
      <c r="S16" s="1031"/>
      <c r="T16" s="1031"/>
      <c r="U16" s="1031"/>
      <c r="V16" s="611">
        <f>+V15+V14</f>
        <v>16385762.111379527</v>
      </c>
      <c r="W16" s="611">
        <f>+W15+W14</f>
        <v>6056431.3742397316</v>
      </c>
    </row>
    <row r="17" spans="1:26" ht="15" thickTop="1" x14ac:dyDescent="0.35">
      <c r="A17" s="1040" t="s">
        <v>371</v>
      </c>
      <c r="B17" s="1040" t="s">
        <v>371</v>
      </c>
      <c r="C17" s="1040" t="s">
        <v>838</v>
      </c>
      <c r="D17" s="1040" t="s">
        <v>838</v>
      </c>
      <c r="E17" s="1040" t="s">
        <v>839</v>
      </c>
      <c r="F17" s="1040" t="s">
        <v>839</v>
      </c>
      <c r="G17" s="1040"/>
      <c r="H17" s="1040"/>
      <c r="I17" s="1041">
        <f>SUM(J17:U17)</f>
        <v>115049.44383090809</v>
      </c>
      <c r="J17" s="1041">
        <f>(TariffRandValues2324Reworked!J17*'MSCOA - Tariff Structure'!$R$2)+TariffRandValues2324Reworked!J17</f>
        <v>9587.4536525756757</v>
      </c>
      <c r="K17" s="1041">
        <f>(TariffRandValues2324Reworked!K17*'MSCOA - Tariff Structure'!$R$2)+TariffRandValues2324Reworked!K17</f>
        <v>9587.4536525756757</v>
      </c>
      <c r="L17" s="1041">
        <f>(TariffRandValues2324Reworked!L17*'MSCOA - Tariff Structure'!$R$2)+TariffRandValues2324Reworked!L17</f>
        <v>9587.4536525756757</v>
      </c>
      <c r="M17" s="1041">
        <f>(TariffRandValues2324Reworked!M17*'MSCOA - Tariff Structure'!$R$2)+TariffRandValues2324Reworked!M17</f>
        <v>9587.4536525756757</v>
      </c>
      <c r="N17" s="1041">
        <f>(TariffRandValues2324Reworked!N17*'MSCOA - Tariff Structure'!$R$2)+TariffRandValues2324Reworked!N17</f>
        <v>9587.4536525756757</v>
      </c>
      <c r="O17" s="1041">
        <f>(TariffRandValues2324Reworked!O17*'MSCOA - Tariff Structure'!$R$2)+TariffRandValues2324Reworked!O17</f>
        <v>9587.4536525756757</v>
      </c>
      <c r="P17" s="1041">
        <f>(TariffRandValues2324Reworked!P17*'MSCOA - Tariff Structure'!$R$2)+TariffRandValues2324Reworked!P17</f>
        <v>9587.4536525756757</v>
      </c>
      <c r="Q17" s="1041">
        <f>(TariffRandValues2324Reworked!Q17*'MSCOA - Tariff Structure'!$R$2)+TariffRandValues2324Reworked!Q17</f>
        <v>9587.4536525756757</v>
      </c>
      <c r="R17" s="1041">
        <f>(TariffRandValues2324Reworked!R17*'MSCOA - Tariff Structure'!$R$2)+TariffRandValues2324Reworked!R17</f>
        <v>9587.4536525756757</v>
      </c>
      <c r="S17" s="1041">
        <f>(TariffRandValues2324Reworked!S17*'MSCOA - Tariff Structure'!$R$2)+TariffRandValues2324Reworked!S17</f>
        <v>9587.4536525756757</v>
      </c>
      <c r="T17" s="1041">
        <f>(TariffRandValues2324Reworked!T17*'MSCOA - Tariff Structure'!$R$2)+TariffRandValues2324Reworked!T17</f>
        <v>9587.4536525756757</v>
      </c>
      <c r="U17" s="1041">
        <f>(TariffRandValues2324Reworked!U17*'MSCOA - Tariff Structure'!$R$2)+TariffRandValues2324Reworked!U17</f>
        <v>9587.4536525756757</v>
      </c>
      <c r="V17" s="1041">
        <f>SUM(L17:T17)</f>
        <v>86287.082873181076</v>
      </c>
      <c r="W17" s="1041">
        <f>U17+J17+K17</f>
        <v>28762.360957727025</v>
      </c>
      <c r="X17" s="245">
        <f>+V21+W21</f>
        <v>451612.07149595331</v>
      </c>
    </row>
    <row r="18" spans="1:26" x14ac:dyDescent="0.35">
      <c r="A18" s="1038" t="s">
        <v>381</v>
      </c>
      <c r="B18" s="1038" t="s">
        <v>375</v>
      </c>
      <c r="C18" s="1038" t="s">
        <v>834</v>
      </c>
      <c r="D18" s="1038" t="s">
        <v>836</v>
      </c>
      <c r="E18" s="1035" t="s">
        <v>827</v>
      </c>
      <c r="F18" s="1035" t="s">
        <v>830</v>
      </c>
      <c r="G18" s="1035"/>
      <c r="H18" s="1035"/>
      <c r="I18" s="1043">
        <f>SUM(J18:U18)</f>
        <v>86494.47922498401</v>
      </c>
      <c r="J18" s="1036">
        <f>(TariffRandValues2324Reworked!J18*'MSCOA - Tariff Structure'!$R$2)+TariffRandValues2324Reworked!J18</f>
        <v>9608.1618400932821</v>
      </c>
      <c r="K18" s="1036">
        <f>(TariffRandValues2324Reworked!K18*'MSCOA - Tariff Structure'!$R$2)+TariffRandValues2324Reworked!K18</f>
        <v>4719.9269147877703</v>
      </c>
      <c r="L18" s="1036">
        <f>(TariffRandValues2324Reworked!L18*'MSCOA - Tariff Structure'!$R$2)+TariffRandValues2324Reworked!L18</f>
        <v>2092.303394616014</v>
      </c>
      <c r="M18" s="1036">
        <f>(TariffRandValues2324Reworked!M18*'MSCOA - Tariff Structure'!$R$2)+TariffRandValues2324Reworked!M18</f>
        <v>1842.2844691221874</v>
      </c>
      <c r="N18" s="1036">
        <f>(TariffRandValues2324Reworked!N18*'MSCOA - Tariff Structure'!$R$2)+TariffRandValues2324Reworked!N18</f>
        <v>2025.0777620814199</v>
      </c>
      <c r="O18" s="1036">
        <f>(TariffRandValues2324Reworked!O18*'MSCOA - Tariff Structure'!$R$2)+TariffRandValues2324Reworked!O18</f>
        <v>1474.2430145999299</v>
      </c>
      <c r="P18" s="1036">
        <f>(TariffRandValues2324Reworked!P18*'MSCOA - Tariff Structure'!$R$2)+TariffRandValues2324Reworked!P18</f>
        <v>1632.1099494283587</v>
      </c>
      <c r="Q18" s="1036">
        <f>(TariffRandValues2324Reworked!Q18*'MSCOA - Tariff Structure'!$R$2)+TariffRandValues2324Reworked!Q18</f>
        <v>6219.0004629380928</v>
      </c>
      <c r="R18" s="1036">
        <f>(TariffRandValues2324Reworked!R18*'MSCOA - Tariff Structure'!$R$2)+TariffRandValues2324Reworked!R18</f>
        <v>6940.7318324527496</v>
      </c>
      <c r="S18" s="1036">
        <f>(TariffRandValues2324Reworked!S18*'MSCOA - Tariff Structure'!$R$2)+TariffRandValues2324Reworked!S18</f>
        <v>6971.8268347674411</v>
      </c>
      <c r="T18" s="1036">
        <f>(TariffRandValues2324Reworked!T18*'MSCOA - Tariff Structure'!$R$2)+TariffRandValues2324Reworked!T18</f>
        <v>8079.7908646119367</v>
      </c>
      <c r="U18" s="1036">
        <f>(TariffRandValues2324Reworked!U18*'MSCOA - Tariff Structure'!$R$2)+TariffRandValues2324Reworked!U18</f>
        <v>34889.021885484821</v>
      </c>
      <c r="V18" s="1036">
        <f>SUM(L18:T18)</f>
        <v>37277.368584618132</v>
      </c>
      <c r="W18" s="1036">
        <f>U18+J18+K18</f>
        <v>49217.11064036587</v>
      </c>
    </row>
    <row r="19" spans="1:26" x14ac:dyDescent="0.35">
      <c r="A19" s="1038" t="s">
        <v>383</v>
      </c>
      <c r="B19" s="1038" t="s">
        <v>377</v>
      </c>
      <c r="C19" s="1038" t="s">
        <v>832</v>
      </c>
      <c r="D19" s="1038" t="s">
        <v>835</v>
      </c>
      <c r="E19" s="1035" t="s">
        <v>826</v>
      </c>
      <c r="F19" s="1035" t="s">
        <v>829</v>
      </c>
      <c r="G19" s="1035"/>
      <c r="H19" s="1035"/>
      <c r="I19" s="1043">
        <f>SUM(J19:U19)</f>
        <v>112919.04839081664</v>
      </c>
      <c r="J19" s="1036">
        <f>(TariffRandValues2324Reworked!J19*'MSCOA - Tariff Structure'!$R$2)+TariffRandValues2324Reworked!J19</f>
        <v>8956.8516274634585</v>
      </c>
      <c r="K19" s="1036">
        <f>(TariffRandValues2324Reworked!K19*'MSCOA - Tariff Structure'!$R$2)+TariffRandValues2324Reworked!K19</f>
        <v>4569.030356636199</v>
      </c>
      <c r="L19" s="1036">
        <f>(TariffRandValues2324Reworked!L19*'MSCOA - Tariff Structure'!$R$2)+TariffRandValues2324Reworked!L19</f>
        <v>3250.4283273581718</v>
      </c>
      <c r="M19" s="1036">
        <f>(TariffRandValues2324Reworked!M19*'MSCOA - Tariff Structure'!$R$2)+TariffRandValues2324Reworked!M19</f>
        <v>3073.3897474367027</v>
      </c>
      <c r="N19" s="1036">
        <f>(TariffRandValues2324Reworked!N19*'MSCOA - Tariff Structure'!$R$2)+TariffRandValues2324Reworked!N19</f>
        <v>3257.9347631468418</v>
      </c>
      <c r="O19" s="1036">
        <f>(TariffRandValues2324Reworked!O19*'MSCOA - Tariff Structure'!$R$2)+TariffRandValues2324Reworked!O19</f>
        <v>2294.1367340543643</v>
      </c>
      <c r="P19" s="1036">
        <f>(TariffRandValues2324Reworked!P19*'MSCOA - Tariff Structure'!$R$2)+TariffRandValues2324Reworked!P19</f>
        <v>2466.2182337380323</v>
      </c>
      <c r="Q19" s="1036">
        <f>(TariffRandValues2324Reworked!Q19*'MSCOA - Tariff Structure'!$R$2)+TariffRandValues2324Reworked!Q19</f>
        <v>11354.074258963547</v>
      </c>
      <c r="R19" s="1036">
        <f>(TariffRandValues2324Reworked!R19*'MSCOA - Tariff Structure'!$R$2)+TariffRandValues2324Reworked!R19</f>
        <v>12151.928125809636</v>
      </c>
      <c r="S19" s="1036">
        <f>(TariffRandValues2324Reworked!S19*'MSCOA - Tariff Structure'!$R$2)+TariffRandValues2324Reworked!S19</f>
        <v>11441.838184316617</v>
      </c>
      <c r="T19" s="1036">
        <f>(TariffRandValues2324Reworked!T19*'MSCOA - Tariff Structure'!$R$2)+TariffRandValues2324Reworked!T19</f>
        <v>14988.605489319338</v>
      </c>
      <c r="U19" s="1036">
        <f>(TariffRandValues2324Reworked!U19*'MSCOA - Tariff Structure'!$R$2)+TariffRandValues2324Reworked!U19</f>
        <v>35114.612542573726</v>
      </c>
      <c r="V19" s="1036">
        <f>SUM(L19:T19)</f>
        <v>64278.55386414325</v>
      </c>
      <c r="W19" s="1036">
        <f>U19+J19+K19</f>
        <v>48640.494526673385</v>
      </c>
    </row>
    <row r="20" spans="1:26" x14ac:dyDescent="0.35">
      <c r="A20" s="1038" t="s">
        <v>379</v>
      </c>
      <c r="B20" s="1038" t="s">
        <v>373</v>
      </c>
      <c r="C20" s="1038" t="s">
        <v>833</v>
      </c>
      <c r="D20" s="1038" t="s">
        <v>837</v>
      </c>
      <c r="E20" s="1035" t="s">
        <v>828</v>
      </c>
      <c r="F20" s="1035" t="s">
        <v>831</v>
      </c>
      <c r="G20" s="1035"/>
      <c r="H20" s="1035"/>
      <c r="I20" s="1043">
        <f>SUM(J20:U20)</f>
        <v>137149.10004924459</v>
      </c>
      <c r="J20" s="1036">
        <f>(TariffRandValues2324Reworked!J20*'MSCOA - Tariff Structure'!$R$2)+TariffRandValues2324Reworked!J20</f>
        <v>12455.471839107386</v>
      </c>
      <c r="K20" s="1036">
        <f>(TariffRandValues2324Reworked!K20*'MSCOA - Tariff Structure'!$R$2)+TariffRandValues2324Reworked!K20</f>
        <v>7750.1491540185234</v>
      </c>
      <c r="L20" s="1036">
        <f>(TariffRandValues2324Reworked!L20*'MSCOA - Tariff Structure'!$R$2)+TariffRandValues2324Reworked!L20</f>
        <v>3711.2646483165677</v>
      </c>
      <c r="M20" s="1036">
        <f>(TariffRandValues2324Reworked!M20*'MSCOA - Tariff Structure'!$R$2)+TariffRandValues2324Reworked!M20</f>
        <v>3654.607769083676</v>
      </c>
      <c r="N20" s="1036">
        <f>(TariffRandValues2324Reworked!N20*'MSCOA - Tariff Structure'!$R$2)+TariffRandValues2324Reworked!N20</f>
        <v>3760.9888292466999</v>
      </c>
      <c r="O20" s="1036">
        <f>(TariffRandValues2324Reworked!O20*'MSCOA - Tariff Structure'!$R$2)+TariffRandValues2324Reworked!O20</f>
        <v>3472.4451447146316</v>
      </c>
      <c r="P20" s="1036">
        <f>(TariffRandValues2324Reworked!P20*'MSCOA - Tariff Structure'!$R$2)+TariffRandValues2324Reworked!P20</f>
        <v>3379.0927761895509</v>
      </c>
      <c r="Q20" s="1036">
        <f>(TariffRandValues2324Reworked!Q20*'MSCOA - Tariff Structure'!$R$2)+TariffRandValues2324Reworked!Q20</f>
        <v>14067.799521483395</v>
      </c>
      <c r="R20" s="1036">
        <f>(TariffRandValues2324Reworked!R20*'MSCOA - Tariff Structure'!$R$2)+TariffRandValues2324Reworked!R20</f>
        <v>14554.682126424277</v>
      </c>
      <c r="S20" s="1036">
        <f>(TariffRandValues2324Reworked!S20*'MSCOA - Tariff Structure'!$R$2)+TariffRandValues2324Reworked!S20</f>
        <v>14017.557380335236</v>
      </c>
      <c r="T20" s="1036">
        <f>(TariffRandValues2324Reworked!T20*'MSCOA - Tariff Structure'!$R$2)+TariffRandValues2324Reworked!T20</f>
        <v>16104.419098746748</v>
      </c>
      <c r="U20" s="1036">
        <f>(TariffRandValues2324Reworked!U20*'MSCOA - Tariff Structure'!$R$2)+TariffRandValues2324Reworked!U20</f>
        <v>40220.621761577902</v>
      </c>
      <c r="V20" s="1036">
        <f>SUM(L20:T20)</f>
        <v>76722.85729454078</v>
      </c>
      <c r="W20" s="1036">
        <f>U20+J20+K20</f>
        <v>60426.24275470381</v>
      </c>
    </row>
    <row r="21" spans="1:26" ht="15" thickBot="1" x14ac:dyDescent="0.4">
      <c r="A21" s="247" t="s">
        <v>536</v>
      </c>
      <c r="B21" s="247"/>
      <c r="C21" s="247"/>
      <c r="D21" s="247"/>
      <c r="E21" s="247"/>
      <c r="F21" s="247"/>
      <c r="G21" s="247"/>
      <c r="H21" s="247"/>
      <c r="I21" s="1060">
        <f>SUM(I22:I25)</f>
        <v>37575267.501413107</v>
      </c>
      <c r="J21" s="1033"/>
      <c r="K21" s="1033"/>
      <c r="L21" s="1033"/>
      <c r="M21" s="1033"/>
      <c r="N21" s="1033"/>
      <c r="O21" s="1033"/>
      <c r="P21" s="1033"/>
      <c r="Q21" s="1033"/>
      <c r="R21" s="1033"/>
      <c r="S21" s="1033"/>
      <c r="T21" s="1033"/>
      <c r="U21" s="1033"/>
      <c r="V21" s="611">
        <f>+V20+V19+V18+V17</f>
        <v>264565.86261648324</v>
      </c>
      <c r="W21" s="611">
        <f>+W20+W19+W18+W17</f>
        <v>187046.20887947007</v>
      </c>
    </row>
    <row r="22" spans="1:26" ht="15" thickTop="1" x14ac:dyDescent="0.35">
      <c r="A22" s="1040" t="s">
        <v>368</v>
      </c>
      <c r="B22" s="1040" t="s">
        <v>368</v>
      </c>
      <c r="C22" s="1040" t="s">
        <v>839</v>
      </c>
      <c r="D22" s="1040" t="s">
        <v>839</v>
      </c>
      <c r="E22" s="1040"/>
      <c r="F22" s="1040" t="s">
        <v>838</v>
      </c>
      <c r="G22" s="1040"/>
      <c r="H22" s="1040"/>
      <c r="I22" s="1041">
        <f>SUM(J22:U22)</f>
        <v>1740955.5363572987</v>
      </c>
      <c r="J22" s="1041">
        <f>(TariffRandValues2324Reworked!J22*'MSCOA - Tariff Structure'!$R$2)+TariffRandValues2324Reworked!J22</f>
        <v>145079.62802977493</v>
      </c>
      <c r="K22" s="1041">
        <f>(TariffRandValues2324Reworked!K22*'MSCOA - Tariff Structure'!$R$2)+TariffRandValues2324Reworked!K22</f>
        <v>145079.62802977493</v>
      </c>
      <c r="L22" s="1041">
        <f>(TariffRandValues2324Reworked!L22*'MSCOA - Tariff Structure'!$R$2)+TariffRandValues2324Reworked!L22</f>
        <v>145079.62802977493</v>
      </c>
      <c r="M22" s="1041">
        <f>(TariffRandValues2324Reworked!M22*'MSCOA - Tariff Structure'!$R$2)+TariffRandValues2324Reworked!M22</f>
        <v>145079.62802977493</v>
      </c>
      <c r="N22" s="1041">
        <f>(TariffRandValues2324Reworked!N22*'MSCOA - Tariff Structure'!$R$2)+TariffRandValues2324Reworked!N22</f>
        <v>145079.62802977493</v>
      </c>
      <c r="O22" s="1041">
        <f>(TariffRandValues2324Reworked!O22*'MSCOA - Tariff Structure'!$R$2)+TariffRandValues2324Reworked!O22</f>
        <v>145079.62802977493</v>
      </c>
      <c r="P22" s="1041">
        <f>(TariffRandValues2324Reworked!P22*'MSCOA - Tariff Structure'!$R$2)+TariffRandValues2324Reworked!P22</f>
        <v>145079.62802977493</v>
      </c>
      <c r="Q22" s="1041">
        <f>(TariffRandValues2324Reworked!Q22*'MSCOA - Tariff Structure'!$R$2)+TariffRandValues2324Reworked!Q22</f>
        <v>145079.62802977493</v>
      </c>
      <c r="R22" s="1041">
        <f>(TariffRandValues2324Reworked!R22*'MSCOA - Tariff Structure'!$R$2)+TariffRandValues2324Reworked!R22</f>
        <v>145079.62802977493</v>
      </c>
      <c r="S22" s="1041">
        <f>(TariffRandValues2324Reworked!S22*'MSCOA - Tariff Structure'!$R$2)+TariffRandValues2324Reworked!S22</f>
        <v>145079.62802977493</v>
      </c>
      <c r="T22" s="1041">
        <f>(TariffRandValues2324Reworked!T22*'MSCOA - Tariff Structure'!$R$2)+TariffRandValues2324Reworked!T22</f>
        <v>145079.62802977493</v>
      </c>
      <c r="U22" s="1041">
        <f>(TariffRandValues2324Reworked!U22*'MSCOA - Tariff Structure'!$R$2)+TariffRandValues2324Reworked!U22</f>
        <v>145079.62802977493</v>
      </c>
      <c r="V22" s="1041">
        <f>SUM(L22:T22)</f>
        <v>1305716.6522679741</v>
      </c>
      <c r="W22" s="1041">
        <f>U22+J22+K22</f>
        <v>435238.8840893248</v>
      </c>
    </row>
    <row r="23" spans="1:26" x14ac:dyDescent="0.35">
      <c r="A23" s="1035" t="s">
        <v>364</v>
      </c>
      <c r="B23" s="1035" t="s">
        <v>358</v>
      </c>
      <c r="C23" s="1035" t="s">
        <v>827</v>
      </c>
      <c r="D23" s="1035" t="s">
        <v>830</v>
      </c>
      <c r="E23" s="1035"/>
      <c r="F23" s="1035" t="s">
        <v>836</v>
      </c>
      <c r="G23" s="1035"/>
      <c r="H23" s="1035"/>
      <c r="I23" s="1043">
        <f>SUM(J23:U23)</f>
        <v>9774264.6184997782</v>
      </c>
      <c r="J23" s="1036">
        <f>(TariffRandValues2324Reworked!J23*'MSCOA - Tariff Structure'!$R$2)+TariffRandValues2324Reworked!J23</f>
        <v>1577242.5338114328</v>
      </c>
      <c r="K23" s="1036">
        <f>(TariffRandValues2324Reworked!K23*'MSCOA - Tariff Structure'!$R$2)+TariffRandValues2324Reworked!K23</f>
        <v>1555580.4119067804</v>
      </c>
      <c r="L23" s="1036">
        <f>(TariffRandValues2324Reworked!L23*'MSCOA - Tariff Structure'!$R$2)+TariffRandValues2324Reworked!L23</f>
        <v>719853.83565019909</v>
      </c>
      <c r="M23" s="1036">
        <f>(TariffRandValues2324Reworked!M23*'MSCOA - Tariff Structure'!$R$2)+TariffRandValues2324Reworked!M23</f>
        <v>610703.39059191698</v>
      </c>
      <c r="N23" s="1036">
        <f>(TariffRandValues2324Reworked!N23*'MSCOA - Tariff Structure'!$R$2)+TariffRandValues2324Reworked!N23</f>
        <v>579818.81457831559</v>
      </c>
      <c r="O23" s="1036">
        <f>(TariffRandValues2324Reworked!O23*'MSCOA - Tariff Structure'!$R$2)+TariffRandValues2324Reworked!O23</f>
        <v>450055.78203422984</v>
      </c>
      <c r="P23" s="1036">
        <f>(TariffRandValues2324Reworked!P23*'MSCOA - Tariff Structure'!$R$2)+TariffRandValues2324Reworked!P23</f>
        <v>478125.81972090999</v>
      </c>
      <c r="Q23" s="1036">
        <f>(TariffRandValues2324Reworked!Q23*'MSCOA - Tariff Structure'!$R$2)+TariffRandValues2324Reworked!Q23</f>
        <v>508415.31040681276</v>
      </c>
      <c r="R23" s="1036">
        <f>(TariffRandValues2324Reworked!R23*'MSCOA - Tariff Structure'!$R$2)+TariffRandValues2324Reworked!R23</f>
        <v>534506.72399883717</v>
      </c>
      <c r="S23" s="1036">
        <f>(TariffRandValues2324Reworked!S23*'MSCOA - Tariff Structure'!$R$2)+TariffRandValues2324Reworked!S23</f>
        <v>547929.81963367062</v>
      </c>
      <c r="T23" s="1036">
        <f>(TariffRandValues2324Reworked!T23*'MSCOA - Tariff Structure'!$R$2)+TariffRandValues2324Reworked!T23</f>
        <v>681663.53919904004</v>
      </c>
      <c r="U23" s="1036">
        <f>(TariffRandValues2324Reworked!U23*'MSCOA - Tariff Structure'!$R$2)+TariffRandValues2324Reworked!U23</f>
        <v>1530368.6369676343</v>
      </c>
      <c r="V23" s="1036">
        <f>SUM(L23:T23)</f>
        <v>5111073.0358139323</v>
      </c>
      <c r="W23" s="1036">
        <f>U23+J23+K23</f>
        <v>4663191.5826858478</v>
      </c>
    </row>
    <row r="24" spans="1:26" x14ac:dyDescent="0.35">
      <c r="A24" s="1035" t="s">
        <v>366</v>
      </c>
      <c r="B24" s="1035" t="s">
        <v>360</v>
      </c>
      <c r="C24" s="1035" t="s">
        <v>826</v>
      </c>
      <c r="D24" s="1035" t="s">
        <v>829</v>
      </c>
      <c r="E24" s="1035"/>
      <c r="F24" s="1035" t="s">
        <v>835</v>
      </c>
      <c r="G24" s="1035"/>
      <c r="H24" s="1035"/>
      <c r="I24" s="1043">
        <f>SUM(J24:U24)</f>
        <v>13578830.371700244</v>
      </c>
      <c r="J24" s="1036">
        <f>(TariffRandValues2324Reworked!J24*'MSCOA - Tariff Structure'!$R$2)+TariffRandValues2324Reworked!J24</f>
        <v>1831926.5309184876</v>
      </c>
      <c r="K24" s="1036">
        <f>(TariffRandValues2324Reworked!K24*'MSCOA - Tariff Structure'!$R$2)+TariffRandValues2324Reworked!K24</f>
        <v>1773050.8132829415</v>
      </c>
      <c r="L24" s="1036">
        <f>(TariffRandValues2324Reworked!L24*'MSCOA - Tariff Structure'!$R$2)+TariffRandValues2324Reworked!L24</f>
        <v>1122569.9335736574</v>
      </c>
      <c r="M24" s="1036">
        <f>(TariffRandValues2324Reworked!M24*'MSCOA - Tariff Structure'!$R$2)+TariffRandValues2324Reworked!M24</f>
        <v>1001312.9054652846</v>
      </c>
      <c r="N24" s="1036">
        <f>(TariffRandValues2324Reworked!N24*'MSCOA - Tariff Structure'!$R$2)+TariffRandValues2324Reworked!N24</f>
        <v>959758.15032953327</v>
      </c>
      <c r="O24" s="1036">
        <f>(TariffRandValues2324Reworked!O24*'MSCOA - Tariff Structure'!$R$2)+TariffRandValues2324Reworked!O24</f>
        <v>767212.24187957495</v>
      </c>
      <c r="P24" s="1036">
        <f>(TariffRandValues2324Reworked!P24*'MSCOA - Tariff Structure'!$R$2)+TariffRandValues2324Reworked!P24</f>
        <v>823589.70555268717</v>
      </c>
      <c r="Q24" s="1036">
        <f>(TariffRandValues2324Reworked!Q24*'MSCOA - Tariff Structure'!$R$2)+TariffRandValues2324Reworked!Q24</f>
        <v>787155.4254614329</v>
      </c>
      <c r="R24" s="1036">
        <f>(TariffRandValues2324Reworked!R24*'MSCOA - Tariff Structure'!$R$2)+TariffRandValues2324Reworked!R24</f>
        <v>832580.43279541912</v>
      </c>
      <c r="S24" s="1036">
        <f>(TariffRandValues2324Reworked!S24*'MSCOA - Tariff Structure'!$R$2)+TariffRandValues2324Reworked!S24</f>
        <v>836042.26879234763</v>
      </c>
      <c r="T24" s="1036">
        <f>(TariffRandValues2324Reworked!T24*'MSCOA - Tariff Structure'!$R$2)+TariffRandValues2324Reworked!T24</f>
        <v>989513.85063697456</v>
      </c>
      <c r="U24" s="1036">
        <f>(TariffRandValues2324Reworked!U24*'MSCOA - Tariff Structure'!$R$2)+TariffRandValues2324Reworked!U24</f>
        <v>1854118.1130119055</v>
      </c>
      <c r="V24" s="1036">
        <f>SUM(L24:T24)</f>
        <v>8119734.9144869121</v>
      </c>
      <c r="W24" s="1036">
        <f>U24+J24+K24</f>
        <v>5459095.4572133347</v>
      </c>
      <c r="Z24" s="245">
        <f>3578510707.1-'MSCOA - Tariff Structure'!Q6</f>
        <v>272273904.16000032</v>
      </c>
    </row>
    <row r="25" spans="1:26" x14ac:dyDescent="0.35">
      <c r="A25" s="1035" t="s">
        <v>362</v>
      </c>
      <c r="B25" s="1035" t="s">
        <v>356</v>
      </c>
      <c r="C25" s="1035" t="s">
        <v>828</v>
      </c>
      <c r="D25" s="1035" t="s">
        <v>831</v>
      </c>
      <c r="E25" s="1035"/>
      <c r="F25" s="1035" t="s">
        <v>837</v>
      </c>
      <c r="G25" s="1035"/>
      <c r="H25" s="1035"/>
      <c r="I25" s="1043">
        <f>SUM(J25:U25)</f>
        <v>12481216.974855792</v>
      </c>
      <c r="J25" s="1036">
        <f>(TariffRandValues2324Reworked!J25*'MSCOA - Tariff Structure'!$R$2)+TariffRandValues2324Reworked!J25</f>
        <v>1631874.7797989883</v>
      </c>
      <c r="K25" s="1036">
        <f>(TariffRandValues2324Reworked!K25*'MSCOA - Tariff Structure'!$R$2)+TariffRandValues2324Reworked!K25</f>
        <v>1717845.7907611784</v>
      </c>
      <c r="L25" s="1036">
        <f>(TariffRandValues2324Reworked!L25*'MSCOA - Tariff Structure'!$R$2)+TariffRandValues2324Reworked!L25</f>
        <v>896839.49147568259</v>
      </c>
      <c r="M25" s="1036">
        <f>(TariffRandValues2324Reworked!M25*'MSCOA - Tariff Structure'!$R$2)+TariffRandValues2324Reworked!M25</f>
        <v>905862.23894434865</v>
      </c>
      <c r="N25" s="1036">
        <f>(TariffRandValues2324Reworked!N25*'MSCOA - Tariff Structure'!$R$2)+TariffRandValues2324Reworked!N25</f>
        <v>804781.20671223663</v>
      </c>
      <c r="O25" s="1036">
        <f>(TariffRandValues2324Reworked!O25*'MSCOA - Tariff Structure'!$R$2)+TariffRandValues2324Reworked!O25</f>
        <v>783831.62836173526</v>
      </c>
      <c r="P25" s="1036">
        <f>(TariffRandValues2324Reworked!P25*'MSCOA - Tariff Structure'!$R$2)+TariffRandValues2324Reworked!P25</f>
        <v>812571.36823438457</v>
      </c>
      <c r="Q25" s="1036">
        <f>(TariffRandValues2324Reworked!Q25*'MSCOA - Tariff Structure'!$R$2)+TariffRandValues2324Reworked!Q25</f>
        <v>838921.79746439075</v>
      </c>
      <c r="R25" s="1036">
        <f>(TariffRandValues2324Reworked!R25*'MSCOA - Tariff Structure'!$R$2)+TariffRandValues2324Reworked!R25</f>
        <v>811922.56329667114</v>
      </c>
      <c r="S25" s="1036">
        <f>(TariffRandValues2324Reworked!S25*'MSCOA - Tariff Structure'!$R$2)+TariffRandValues2324Reworked!S25</f>
        <v>830826.65698156203</v>
      </c>
      <c r="T25" s="1036">
        <f>(TariffRandValues2324Reworked!T25*'MSCOA - Tariff Structure'!$R$2)+TariffRandValues2324Reworked!T25</f>
        <v>885734.28495045868</v>
      </c>
      <c r="U25" s="1036">
        <f>(TariffRandValues2324Reworked!U25*'MSCOA - Tariff Structure'!$R$2)+TariffRandValues2324Reworked!U25</f>
        <v>1560205.1678741532</v>
      </c>
      <c r="V25" s="1036">
        <f>SUM(L25:T25)</f>
        <v>7571291.2364214705</v>
      </c>
      <c r="W25" s="1036">
        <f>U25+J25+K25</f>
        <v>4909925.7384343203</v>
      </c>
      <c r="Z25" s="245">
        <f>Z24/2</f>
        <v>136136952.08000016</v>
      </c>
    </row>
    <row r="26" spans="1:26" ht="15" thickBot="1" x14ac:dyDescent="0.4">
      <c r="A26" s="247" t="s">
        <v>545</v>
      </c>
      <c r="I26" s="1060">
        <f>+I27</f>
        <v>164756608.7823658</v>
      </c>
      <c r="J26" s="1031"/>
      <c r="K26" s="1031"/>
      <c r="L26" s="1031"/>
      <c r="M26" s="1031"/>
      <c r="N26" s="1031"/>
      <c r="O26" s="1031"/>
      <c r="P26" s="1031"/>
      <c r="Q26" s="1031"/>
      <c r="R26" s="1031"/>
      <c r="S26" s="1031"/>
      <c r="T26" s="1031"/>
      <c r="U26" s="1031"/>
      <c r="V26" s="611">
        <f>+V25+V24+V23+V22</f>
        <v>22107815.83899029</v>
      </c>
      <c r="W26" s="611">
        <f>+W25+W24+W23+W22</f>
        <v>15467451.662422828</v>
      </c>
      <c r="X26" s="245">
        <f>+V26+W26</f>
        <v>37575267.501413122</v>
      </c>
    </row>
    <row r="27" spans="1:26" ht="15" thickTop="1" x14ac:dyDescent="0.35">
      <c r="A27" s="1038" t="s">
        <v>313</v>
      </c>
      <c r="B27" s="1038" t="s">
        <v>311</v>
      </c>
      <c r="C27" s="1038" t="s">
        <v>510</v>
      </c>
      <c r="D27" s="1038" t="s">
        <v>514</v>
      </c>
      <c r="E27" s="1035" t="s">
        <v>510</v>
      </c>
      <c r="F27" s="1035" t="s">
        <v>514</v>
      </c>
      <c r="G27" s="1035"/>
      <c r="H27" s="1035"/>
      <c r="I27" s="1043">
        <f>SUM(J27:U27)</f>
        <v>164756608.7823658</v>
      </c>
      <c r="J27" s="1036">
        <f>(TariffRandValues2324Reworked!J27*'MSCOA - Tariff Structure'!$R$2)+TariffRandValues2324Reworked!J27</f>
        <v>14083791.891199393</v>
      </c>
      <c r="K27" s="1036">
        <f>(TariffRandValues2324Reworked!K27*'MSCOA - Tariff Structure'!$R$2)+TariffRandValues2324Reworked!K27</f>
        <v>13780426.977031585</v>
      </c>
      <c r="L27" s="1036">
        <f>(TariffRandValues2324Reworked!L27*'MSCOA - Tariff Structure'!$R$2)+TariffRandValues2324Reworked!L27</f>
        <v>12733081.839809043</v>
      </c>
      <c r="M27" s="1036">
        <f>(TariffRandValues2324Reworked!M27*'MSCOA - Tariff Structure'!$R$2)+TariffRandValues2324Reworked!M27</f>
        <v>13553339.082052246</v>
      </c>
      <c r="N27" s="1036">
        <f>(TariffRandValues2324Reworked!N27*'MSCOA - Tariff Structure'!$R$2)+TariffRandValues2324Reworked!N27</f>
        <v>13238563.093213713</v>
      </c>
      <c r="O27" s="1036">
        <f>(TariffRandValues2324Reworked!O27*'MSCOA - Tariff Structure'!$R$2)+TariffRandValues2324Reworked!O27</f>
        <v>14347563.734232115</v>
      </c>
      <c r="P27" s="1036">
        <f>(TariffRandValues2324Reworked!P27*'MSCOA - Tariff Structure'!$R$2)+TariffRandValues2324Reworked!P27</f>
        <v>12332799.419440212</v>
      </c>
      <c r="Q27" s="1036">
        <f>(TariffRandValues2324Reworked!Q27*'MSCOA - Tariff Structure'!$R$2)+TariffRandValues2324Reworked!Q27</f>
        <v>13167175.017006867</v>
      </c>
      <c r="R27" s="1036">
        <f>(TariffRandValues2324Reworked!R27*'MSCOA - Tariff Structure'!$R$2)+TariffRandValues2324Reworked!R27</f>
        <v>13142631.201727664</v>
      </c>
      <c r="S27" s="1036">
        <f>(TariffRandValues2324Reworked!S27*'MSCOA - Tariff Structure'!$R$2)+TariffRandValues2324Reworked!S27</f>
        <v>13651068.759166762</v>
      </c>
      <c r="T27" s="1036">
        <f>(TariffRandValues2324Reworked!T27*'MSCOA - Tariff Structure'!$R$2)+TariffRandValues2324Reworked!T27</f>
        <v>14824988.645111674</v>
      </c>
      <c r="U27" s="1036">
        <f>(TariffRandValues2324Reworked!U27*'MSCOA - Tariff Structure'!$R$2)+TariffRandValues2324Reworked!U27</f>
        <v>15901179.122374531</v>
      </c>
      <c r="V27" s="1036">
        <f>SUM(L27:T27)</f>
        <v>120991210.7917603</v>
      </c>
      <c r="W27" s="1036">
        <f>U27+J27+K27</f>
        <v>43765397.990605503</v>
      </c>
    </row>
    <row r="28" spans="1:26" ht="15" thickBot="1" x14ac:dyDescent="0.4">
      <c r="A28" s="247" t="s">
        <v>546</v>
      </c>
      <c r="I28" s="1060">
        <f>+I29</f>
        <v>51219288.178216472</v>
      </c>
      <c r="J28" s="1031"/>
      <c r="K28" s="1031"/>
      <c r="L28" s="1031"/>
      <c r="M28" s="1031"/>
      <c r="N28" s="1031"/>
      <c r="O28" s="1031"/>
      <c r="P28" s="1031"/>
      <c r="Q28" s="1031"/>
      <c r="R28" s="1031"/>
      <c r="S28" s="1031"/>
      <c r="T28" s="1031"/>
      <c r="U28" s="1031"/>
      <c r="V28" s="611">
        <f>+V27</f>
        <v>120991210.7917603</v>
      </c>
      <c r="W28" s="611">
        <f>+W27</f>
        <v>43765397.990605503</v>
      </c>
      <c r="X28" s="245">
        <f>+W28+V28</f>
        <v>164756608.7823658</v>
      </c>
    </row>
    <row r="29" spans="1:26" ht="15" thickTop="1" x14ac:dyDescent="0.35">
      <c r="A29" s="1038" t="s">
        <v>313</v>
      </c>
      <c r="B29" s="1038" t="s">
        <v>311</v>
      </c>
      <c r="C29" s="1038" t="s">
        <v>510</v>
      </c>
      <c r="D29" s="1038" t="s">
        <v>514</v>
      </c>
      <c r="E29" s="1035" t="s">
        <v>510</v>
      </c>
      <c r="F29" s="1035" t="s">
        <v>514</v>
      </c>
      <c r="G29" s="1035"/>
      <c r="H29" s="1035"/>
      <c r="I29" s="1043">
        <f>SUM(J29:U29)</f>
        <v>51219288.178216472</v>
      </c>
      <c r="J29" s="1036">
        <f>(TariffRandValues2324Reworked!J29*'MSCOA - Tariff Structure'!$R$2)+TariffRandValues2324Reworked!J29</f>
        <v>6431810.0819091899</v>
      </c>
      <c r="K29" s="1036">
        <f>(TariffRandValues2324Reworked!K29*'MSCOA - Tariff Structure'!$R$2)+TariffRandValues2324Reworked!K29</f>
        <v>8675646.2040986996</v>
      </c>
      <c r="L29" s="1036">
        <f>(TariffRandValues2324Reworked!L29*'MSCOA - Tariff Structure'!$R$2)+TariffRandValues2324Reworked!L29</f>
        <v>5563684.1624081237</v>
      </c>
      <c r="M29" s="1036">
        <f>(TariffRandValues2324Reworked!M29*'MSCOA - Tariff Structure'!$R$2)+TariffRandValues2324Reworked!M29</f>
        <v>4154844.3938211827</v>
      </c>
      <c r="N29" s="1036">
        <f>(TariffRandValues2324Reworked!N29*'MSCOA - Tariff Structure'!$R$2)+TariffRandValues2324Reworked!N29</f>
        <v>4427417.5418845285</v>
      </c>
      <c r="O29" s="1036">
        <f>(TariffRandValues2324Reworked!O29*'MSCOA - Tariff Structure'!$R$2)+TariffRandValues2324Reworked!O29</f>
        <v>3409431.4716989268</v>
      </c>
      <c r="P29" s="1036">
        <f>(TariffRandValues2324Reworked!P29*'MSCOA - Tariff Structure'!$R$2)+TariffRandValues2324Reworked!P29</f>
        <v>3322500.3508917764</v>
      </c>
      <c r="Q29" s="1036">
        <f>(TariffRandValues2324Reworked!Q29*'MSCOA - Tariff Structure'!$R$2)+TariffRandValues2324Reworked!Q29</f>
        <v>2493494.0850622961</v>
      </c>
      <c r="R29" s="1036">
        <f>(TariffRandValues2324Reworked!R29*'MSCOA - Tariff Structure'!$R$2)+TariffRandValues2324Reworked!R29</f>
        <v>1914240.8420160522</v>
      </c>
      <c r="S29" s="1036">
        <f>(TariffRandValues2324Reworked!S29*'MSCOA - Tariff Structure'!$R$2)+TariffRandValues2324Reworked!S29</f>
        <v>1205748.8696606718</v>
      </c>
      <c r="T29" s="1036">
        <f>(TariffRandValues2324Reworked!T29*'MSCOA - Tariff Structure'!$R$2)+TariffRandValues2324Reworked!T29</f>
        <v>789715.49432165804</v>
      </c>
      <c r="U29" s="1036">
        <f>(TariffRandValues2324Reworked!U29*'MSCOA - Tariff Structure'!$R$2)+TariffRandValues2324Reworked!U29</f>
        <v>8830754.6804433782</v>
      </c>
      <c r="V29" s="1036">
        <f>SUM(L29:T29)</f>
        <v>27281077.211765215</v>
      </c>
      <c r="W29" s="1036">
        <f>U29+J29+K29</f>
        <v>23938210.966451265</v>
      </c>
    </row>
    <row r="30" spans="1:26" ht="15" thickBot="1" x14ac:dyDescent="0.4">
      <c r="A30" s="247" t="s">
        <v>539</v>
      </c>
      <c r="I30" s="1060">
        <f>SUM(I31:I34)</f>
        <v>505184.80498806608</v>
      </c>
      <c r="J30" s="1031"/>
      <c r="K30" s="1031"/>
      <c r="L30" s="1031"/>
      <c r="M30" s="1031"/>
      <c r="N30" s="1031"/>
      <c r="O30" s="1031"/>
      <c r="P30" s="1031"/>
      <c r="Q30" s="1031"/>
      <c r="R30" s="1031"/>
      <c r="S30" s="1031"/>
      <c r="T30" s="1031"/>
      <c r="U30" s="1031"/>
      <c r="V30" s="611">
        <f>+V29</f>
        <v>27281077.211765215</v>
      </c>
      <c r="W30" s="611">
        <f>+W29</f>
        <v>23938210.966451265</v>
      </c>
      <c r="X30" s="245">
        <f>+W30+V30</f>
        <v>51219288.17821648</v>
      </c>
    </row>
    <row r="31" spans="1:26" ht="15" thickTop="1" x14ac:dyDescent="0.35">
      <c r="A31" s="1040" t="s">
        <v>401</v>
      </c>
      <c r="B31" s="1040" t="s">
        <v>401</v>
      </c>
      <c r="C31" s="1040" t="s">
        <v>875</v>
      </c>
      <c r="D31" s="1040" t="s">
        <v>875</v>
      </c>
      <c r="E31" s="1040" t="s">
        <v>876</v>
      </c>
      <c r="F31" s="1040" t="s">
        <v>876</v>
      </c>
      <c r="G31" s="1040"/>
      <c r="H31" s="1040"/>
      <c r="I31" s="1041">
        <f>SUM(J31:U31)</f>
        <v>192237.7810575137</v>
      </c>
      <c r="J31" s="1041">
        <f>(TariffRandValues2324Reworked!J31*'MSCOA - Tariff Structure'!$R$2)+TariffRandValues2324Reworked!J31</f>
        <v>16019.815088126146</v>
      </c>
      <c r="K31" s="1041">
        <f>(TariffRandValues2324Reworked!K31*'MSCOA - Tariff Structure'!$R$2)+TariffRandValues2324Reworked!K31</f>
        <v>16019.815088126146</v>
      </c>
      <c r="L31" s="1041">
        <f>(TariffRandValues2324Reworked!L31*'MSCOA - Tariff Structure'!$R$2)+TariffRandValues2324Reworked!L31</f>
        <v>16019.815088126146</v>
      </c>
      <c r="M31" s="1041">
        <f>(TariffRandValues2324Reworked!M31*'MSCOA - Tariff Structure'!$R$2)+TariffRandValues2324Reworked!M31</f>
        <v>16019.815088126146</v>
      </c>
      <c r="N31" s="1041">
        <f>(TariffRandValues2324Reworked!N31*'MSCOA - Tariff Structure'!$R$2)+TariffRandValues2324Reworked!N31</f>
        <v>16019.815088126146</v>
      </c>
      <c r="O31" s="1041">
        <f>(TariffRandValues2324Reworked!O31*'MSCOA - Tariff Structure'!$R$2)+TariffRandValues2324Reworked!O31</f>
        <v>16019.815088126146</v>
      </c>
      <c r="P31" s="1041">
        <f>(TariffRandValues2324Reworked!P31*'MSCOA - Tariff Structure'!$R$2)+TariffRandValues2324Reworked!P31</f>
        <v>16019.815088126146</v>
      </c>
      <c r="Q31" s="1041">
        <f>(TariffRandValues2324Reworked!Q31*'MSCOA - Tariff Structure'!$R$2)+TariffRandValues2324Reworked!Q31</f>
        <v>16019.815088126146</v>
      </c>
      <c r="R31" s="1041">
        <f>(TariffRandValues2324Reworked!R31*'MSCOA - Tariff Structure'!$R$2)+TariffRandValues2324Reworked!R31</f>
        <v>16019.815088126146</v>
      </c>
      <c r="S31" s="1041">
        <f>(TariffRandValues2324Reworked!S31*'MSCOA - Tariff Structure'!$R$2)+TariffRandValues2324Reworked!S31</f>
        <v>16019.815088126146</v>
      </c>
      <c r="T31" s="1041">
        <f>(TariffRandValues2324Reworked!T31*'MSCOA - Tariff Structure'!$R$2)+TariffRandValues2324Reworked!T31</f>
        <v>16019.815088126146</v>
      </c>
      <c r="U31" s="1041">
        <f>(TariffRandValues2324Reworked!U31*'MSCOA - Tariff Structure'!$R$2)+TariffRandValues2324Reworked!U31</f>
        <v>16019.815088126146</v>
      </c>
      <c r="V31" s="1041">
        <f>SUM(L31:T31)</f>
        <v>144178.33579313528</v>
      </c>
      <c r="W31" s="1041">
        <f>U31+J31+K31</f>
        <v>48059.445264378439</v>
      </c>
    </row>
    <row r="32" spans="1:26" x14ac:dyDescent="0.35">
      <c r="A32" s="1038" t="s">
        <v>403</v>
      </c>
      <c r="B32" s="1038" t="s">
        <v>411</v>
      </c>
      <c r="C32" s="1038" t="s">
        <v>871</v>
      </c>
      <c r="D32" s="1038" t="s">
        <v>874</v>
      </c>
      <c r="E32" s="1035" t="s">
        <v>864</v>
      </c>
      <c r="F32" s="1035" t="s">
        <v>867</v>
      </c>
      <c r="G32" s="1035"/>
      <c r="H32" s="1035"/>
      <c r="I32" s="1043">
        <f>SUM(J32:U32)</f>
        <v>82758.211729689268</v>
      </c>
      <c r="J32" s="1036">
        <f>(TariffRandValues2324Reworked!J32*'MSCOA - Tariff Structure'!$R$2)+TariffRandValues2324Reworked!J32</f>
        <v>8131.9306541086189</v>
      </c>
      <c r="K32" s="1036">
        <f>(TariffRandValues2324Reworked!K32*'MSCOA - Tariff Structure'!$R$2)+TariffRandValues2324Reworked!K32</f>
        <v>8128.7720094575752</v>
      </c>
      <c r="L32" s="1036">
        <f>(TariffRandValues2324Reworked!L32*'MSCOA - Tariff Structure'!$R$2)+TariffRandValues2324Reworked!L32</f>
        <v>11271.622231515732</v>
      </c>
      <c r="M32" s="1036">
        <f>(TariffRandValues2324Reworked!M32*'MSCOA - Tariff Structure'!$R$2)+TariffRandValues2324Reworked!M32</f>
        <v>6792.4896875398972</v>
      </c>
      <c r="N32" s="1036">
        <f>(TariffRandValues2324Reworked!N32*'MSCOA - Tariff Structure'!$R$2)+TariffRandValues2324Reworked!N32</f>
        <v>6287.4084871486648</v>
      </c>
      <c r="O32" s="1036">
        <f>(TariffRandValues2324Reworked!O32*'MSCOA - Tariff Structure'!$R$2)+TariffRandValues2324Reworked!O32</f>
        <v>5781.7945006810687</v>
      </c>
      <c r="P32" s="1036">
        <f>(TariffRandValues2324Reworked!P32*'MSCOA - Tariff Structure'!$R$2)+TariffRandValues2324Reworked!P32</f>
        <v>5418.4343966021452</v>
      </c>
      <c r="Q32" s="1036">
        <f>(TariffRandValues2324Reworked!Q32*'MSCOA - Tariff Structure'!$R$2)+TariffRandValues2324Reworked!Q32</f>
        <v>5154.7052888029266</v>
      </c>
      <c r="R32" s="1036">
        <f>(TariffRandValues2324Reworked!R32*'MSCOA - Tariff Structure'!$R$2)+TariffRandValues2324Reworked!R32</f>
        <v>5113.1479748466863</v>
      </c>
      <c r="S32" s="1036">
        <f>(TariffRandValues2324Reworked!S32*'MSCOA - Tariff Structure'!$R$2)+TariffRandValues2324Reworked!S32</f>
        <v>5347.5738484459916</v>
      </c>
      <c r="T32" s="1036">
        <f>(TariffRandValues2324Reworked!T32*'MSCOA - Tariff Structure'!$R$2)+TariffRandValues2324Reworked!T32</f>
        <v>6374.7854036720437</v>
      </c>
      <c r="U32" s="1036">
        <f>(TariffRandValues2324Reworked!U32*'MSCOA - Tariff Structure'!$R$2)+TariffRandValues2324Reworked!U32</f>
        <v>8955.5472468679218</v>
      </c>
      <c r="V32" s="1036">
        <f>SUM(L32:T32)</f>
        <v>57541.961819255164</v>
      </c>
      <c r="W32" s="1036">
        <f>U32+J32+K32</f>
        <v>25216.249910434115</v>
      </c>
    </row>
    <row r="33" spans="1:24" x14ac:dyDescent="0.35">
      <c r="A33" s="1038" t="s">
        <v>405</v>
      </c>
      <c r="B33" s="1038" t="s">
        <v>413</v>
      </c>
      <c r="C33" s="1038" t="s">
        <v>870</v>
      </c>
      <c r="D33" s="1038" t="s">
        <v>873</v>
      </c>
      <c r="E33" s="1035" t="s">
        <v>863</v>
      </c>
      <c r="F33" s="1035" t="s">
        <v>866</v>
      </c>
      <c r="G33" s="1035"/>
      <c r="H33" s="1035"/>
      <c r="I33" s="1043">
        <f>SUM(J33:U33)</f>
        <v>118080.39616571959</v>
      </c>
      <c r="J33" s="1036">
        <f>(TariffRandValues2324Reworked!J33*'MSCOA - Tariff Structure'!$R$2)+TariffRandValues2324Reworked!J33</f>
        <v>12100.444851602113</v>
      </c>
      <c r="K33" s="1036">
        <f>(TariffRandValues2324Reworked!K33*'MSCOA - Tariff Structure'!$R$2)+TariffRandValues2324Reworked!K33</f>
        <v>12820.841632201065</v>
      </c>
      <c r="L33" s="1036">
        <f>(TariffRandValues2324Reworked!L33*'MSCOA - Tariff Structure'!$R$2)+TariffRandValues2324Reworked!L33</f>
        <v>14742.107519367421</v>
      </c>
      <c r="M33" s="1036">
        <f>(TariffRandValues2324Reworked!M33*'MSCOA - Tariff Structure'!$R$2)+TariffRandValues2324Reworked!M33</f>
        <v>9755.7233714273807</v>
      </c>
      <c r="N33" s="1036">
        <f>(TariffRandValues2324Reworked!N33*'MSCOA - Tariff Structure'!$R$2)+TariffRandValues2324Reworked!N33</f>
        <v>9073.6671293801301</v>
      </c>
      <c r="O33" s="1036">
        <f>(TariffRandValues2324Reworked!O33*'MSCOA - Tariff Structure'!$R$2)+TariffRandValues2324Reworked!O33</f>
        <v>8289.3321832072234</v>
      </c>
      <c r="P33" s="1036">
        <f>(TariffRandValues2324Reworked!P33*'MSCOA - Tariff Structure'!$R$2)+TariffRandValues2324Reworked!P33</f>
        <v>8090.12656761365</v>
      </c>
      <c r="Q33" s="1036">
        <f>(TariffRandValues2324Reworked!Q33*'MSCOA - Tariff Structure'!$R$2)+TariffRandValues2324Reworked!Q33</f>
        <v>7744.9359411895612</v>
      </c>
      <c r="R33" s="1036">
        <f>(TariffRandValues2324Reworked!R33*'MSCOA - Tariff Structure'!$R$2)+TariffRandValues2324Reworked!R33</f>
        <v>7539.7838893096105</v>
      </c>
      <c r="S33" s="1036">
        <f>(TariffRandValues2324Reworked!S33*'MSCOA - Tariff Structure'!$R$2)+TariffRandValues2324Reworked!S33</f>
        <v>7223.1361570601239</v>
      </c>
      <c r="T33" s="1036">
        <f>(TariffRandValues2324Reworked!T33*'MSCOA - Tariff Structure'!$R$2)+TariffRandValues2324Reworked!T33</f>
        <v>7733.6377122454469</v>
      </c>
      <c r="U33" s="1036">
        <f>(TariffRandValues2324Reworked!U33*'MSCOA - Tariff Structure'!$R$2)+TariffRandValues2324Reworked!U33</f>
        <v>12966.659211115868</v>
      </c>
      <c r="V33" s="1036">
        <f>SUM(L33:T33)</f>
        <v>80192.450470800555</v>
      </c>
      <c r="W33" s="1036">
        <f>U33+J33+K33</f>
        <v>37887.94569491905</v>
      </c>
    </row>
    <row r="34" spans="1:24" x14ac:dyDescent="0.35">
      <c r="A34" s="1038" t="s">
        <v>407</v>
      </c>
      <c r="B34" s="1038" t="s">
        <v>409</v>
      </c>
      <c r="C34" s="1038" t="s">
        <v>872</v>
      </c>
      <c r="D34" s="1038" t="s">
        <v>869</v>
      </c>
      <c r="E34" s="1035" t="s">
        <v>865</v>
      </c>
      <c r="F34" s="1035" t="s">
        <v>868</v>
      </c>
      <c r="G34" s="1035"/>
      <c r="H34" s="1035"/>
      <c r="I34" s="1043">
        <f>SUM(J34:U34)</f>
        <v>112108.41603514357</v>
      </c>
      <c r="J34" s="1036">
        <f>(TariffRandValues2324Reworked!J34*'MSCOA - Tariff Structure'!$R$2)+TariffRandValues2324Reworked!J34</f>
        <v>10885.180619380104</v>
      </c>
      <c r="K34" s="1036">
        <f>(TariffRandValues2324Reworked!K34*'MSCOA - Tariff Structure'!$R$2)+TariffRandValues2324Reworked!K34</f>
        <v>12932.508909732012</v>
      </c>
      <c r="L34" s="1036">
        <f>(TariffRandValues2324Reworked!L34*'MSCOA - Tariff Structure'!$R$2)+TariffRandValues2324Reworked!L34</f>
        <v>11010.228054494388</v>
      </c>
      <c r="M34" s="1036">
        <f>(TariffRandValues2324Reworked!M34*'MSCOA - Tariff Structure'!$R$2)+TariffRandValues2324Reworked!M34</f>
        <v>9372.4204180709148</v>
      </c>
      <c r="N34" s="1036">
        <f>(TariffRandValues2324Reworked!N34*'MSCOA - Tariff Structure'!$R$2)+TariffRandValues2324Reworked!N34</f>
        <v>9262.8837550553963</v>
      </c>
      <c r="O34" s="1036">
        <f>(TariffRandValues2324Reworked!O34*'MSCOA - Tariff Structure'!$R$2)+TariffRandValues2324Reworked!O34</f>
        <v>9871.2674879249626</v>
      </c>
      <c r="P34" s="1036">
        <f>(TariffRandValues2324Reworked!P34*'MSCOA - Tariff Structure'!$R$2)+TariffRandValues2324Reworked!P34</f>
        <v>9088.2320984084854</v>
      </c>
      <c r="Q34" s="1036">
        <f>(TariffRandValues2324Reworked!Q34*'MSCOA - Tariff Structure'!$R$2)+TariffRandValues2324Reworked!Q34</f>
        <v>6794.8599498316808</v>
      </c>
      <c r="R34" s="1036">
        <f>(TariffRandValues2324Reworked!R34*'MSCOA - Tariff Structure'!$R$2)+TariffRandValues2324Reworked!R34</f>
        <v>6897.7747490880756</v>
      </c>
      <c r="S34" s="1036">
        <f>(TariffRandValues2324Reworked!S34*'MSCOA - Tariff Structure'!$R$2)+TariffRandValues2324Reworked!S34</f>
        <v>7201.2768380479511</v>
      </c>
      <c r="T34" s="1036">
        <f>(TariffRandValues2324Reworked!T34*'MSCOA - Tariff Structure'!$R$2)+TariffRandValues2324Reworked!T34</f>
        <v>7725.5077189786452</v>
      </c>
      <c r="U34" s="1036">
        <f>(TariffRandValues2324Reworked!U34*'MSCOA - Tariff Structure'!$R$2)+TariffRandValues2324Reworked!U34</f>
        <v>11066.275436130982</v>
      </c>
      <c r="V34" s="1036">
        <f>SUM(L34:T34)</f>
        <v>77224.451069900504</v>
      </c>
      <c r="W34" s="1036">
        <f>U34+J34+K34</f>
        <v>34883.964965243096</v>
      </c>
    </row>
    <row r="35" spans="1:24" ht="15" thickBot="1" x14ac:dyDescent="0.4">
      <c r="A35" s="247" t="s">
        <v>538</v>
      </c>
      <c r="B35" s="248"/>
      <c r="C35" s="248"/>
      <c r="D35" s="248"/>
      <c r="E35" s="248"/>
      <c r="F35" s="248"/>
      <c r="G35" s="248"/>
      <c r="H35" s="248"/>
      <c r="I35" s="1060">
        <f>SUM(I36:I39)</f>
        <v>79816226.0066493</v>
      </c>
      <c r="J35" s="1033"/>
      <c r="K35" s="1033"/>
      <c r="L35" s="1033"/>
      <c r="M35" s="1033"/>
      <c r="N35" s="1033"/>
      <c r="O35" s="1033"/>
      <c r="P35" s="1033"/>
      <c r="Q35" s="1033"/>
      <c r="R35" s="1033"/>
      <c r="S35" s="1033"/>
      <c r="T35" s="1033"/>
      <c r="U35" s="1033"/>
      <c r="V35" s="611">
        <f>+V34+V33+V32+V31</f>
        <v>359137.19915309153</v>
      </c>
      <c r="W35" s="611">
        <f>+W34+W33+W32+W31</f>
        <v>146047.6058349747</v>
      </c>
      <c r="X35" s="245">
        <f>+W35+V35</f>
        <v>505184.8049880662</v>
      </c>
    </row>
    <row r="36" spans="1:24" ht="15" thickTop="1" x14ac:dyDescent="0.35">
      <c r="A36" s="1040" t="s">
        <v>392</v>
      </c>
      <c r="B36" s="1040" t="s">
        <v>392</v>
      </c>
      <c r="C36" s="1040" t="s">
        <v>876</v>
      </c>
      <c r="D36" s="1040" t="s">
        <v>876</v>
      </c>
      <c r="E36" s="1040" t="s">
        <v>875</v>
      </c>
      <c r="F36" s="1040" t="s">
        <v>875</v>
      </c>
      <c r="G36" s="1040"/>
      <c r="H36" s="1040"/>
      <c r="I36" s="1041">
        <f>SUM(J36:U36)</f>
        <v>6735385.6589751178</v>
      </c>
      <c r="J36" s="1041">
        <f>(TariffRandValues2324Reworked!J36*'MSCOA - Tariff Structure'!$R$2)+TariffRandValues2324Reworked!J36</f>
        <v>561282.13824792637</v>
      </c>
      <c r="K36" s="1041">
        <f>(TariffRandValues2324Reworked!K36*'MSCOA - Tariff Structure'!$R$2)+TariffRandValues2324Reworked!K36</f>
        <v>561282.13824792637</v>
      </c>
      <c r="L36" s="1041">
        <f>(TariffRandValues2324Reworked!L36*'MSCOA - Tariff Structure'!$R$2)+TariffRandValues2324Reworked!L36</f>
        <v>561282.13824792637</v>
      </c>
      <c r="M36" s="1041">
        <f>(TariffRandValues2324Reworked!M36*'MSCOA - Tariff Structure'!$R$2)+TariffRandValues2324Reworked!M36</f>
        <v>561282.13824792637</v>
      </c>
      <c r="N36" s="1041">
        <f>(TariffRandValues2324Reworked!N36*'MSCOA - Tariff Structure'!$R$2)+TariffRandValues2324Reworked!N36</f>
        <v>561282.13824792637</v>
      </c>
      <c r="O36" s="1041">
        <f>(TariffRandValues2324Reworked!O36*'MSCOA - Tariff Structure'!$R$2)+TariffRandValues2324Reworked!O36</f>
        <v>561282.13824792637</v>
      </c>
      <c r="P36" s="1041">
        <f>(TariffRandValues2324Reworked!P36*'MSCOA - Tariff Structure'!$R$2)+TariffRandValues2324Reworked!P36</f>
        <v>561282.13824792637</v>
      </c>
      <c r="Q36" s="1041">
        <f>(TariffRandValues2324Reworked!Q36*'MSCOA - Tariff Structure'!$R$2)+TariffRandValues2324Reworked!Q36</f>
        <v>561282.13824792637</v>
      </c>
      <c r="R36" s="1041">
        <f>(TariffRandValues2324Reworked!R36*'MSCOA - Tariff Structure'!$R$2)+TariffRandValues2324Reworked!R36</f>
        <v>561282.13824792637</v>
      </c>
      <c r="S36" s="1041">
        <f>(TariffRandValues2324Reworked!S36*'MSCOA - Tariff Structure'!$R$2)+TariffRandValues2324Reworked!S36</f>
        <v>561282.13824792637</v>
      </c>
      <c r="T36" s="1041">
        <f>(TariffRandValues2324Reworked!T36*'MSCOA - Tariff Structure'!$R$2)+TariffRandValues2324Reworked!T36</f>
        <v>561282.13824792637</v>
      </c>
      <c r="U36" s="1041">
        <f>(TariffRandValues2324Reworked!U36*'MSCOA - Tariff Structure'!$R$2)+TariffRandValues2324Reworked!U36</f>
        <v>561282.13824792637</v>
      </c>
      <c r="V36" s="1041">
        <f>SUM(L36:T36)</f>
        <v>5051539.2442313377</v>
      </c>
      <c r="W36" s="1041">
        <f>U36+J36+K36</f>
        <v>1683846.4147437792</v>
      </c>
    </row>
    <row r="37" spans="1:24" x14ac:dyDescent="0.35">
      <c r="A37" s="1038" t="s">
        <v>396</v>
      </c>
      <c r="B37" s="1038" t="s">
        <v>388</v>
      </c>
      <c r="C37" s="1038" t="s">
        <v>864</v>
      </c>
      <c r="D37" s="1038" t="s">
        <v>867</v>
      </c>
      <c r="E37" s="1035" t="s">
        <v>871</v>
      </c>
      <c r="F37" s="1035" t="s">
        <v>874</v>
      </c>
      <c r="G37" s="1035"/>
      <c r="H37" s="1035"/>
      <c r="I37" s="1043">
        <f>SUM(J37:U37)</f>
        <v>20328646.994677015</v>
      </c>
      <c r="J37" s="1036">
        <f>(TariffRandValues2324Reworked!J37*'MSCOA - Tariff Structure'!$R$2)+TariffRandValues2324Reworked!J37</f>
        <v>2511736.5380988577</v>
      </c>
      <c r="K37" s="1036">
        <f>(TariffRandValues2324Reworked!K37*'MSCOA - Tariff Structure'!$R$2)+TariffRandValues2324Reworked!K37</f>
        <v>2190924.3720132271</v>
      </c>
      <c r="L37" s="1036">
        <f>(TariffRandValues2324Reworked!L37*'MSCOA - Tariff Structure'!$R$2)+TariffRandValues2324Reworked!L37</f>
        <v>1453922.6232338776</v>
      </c>
      <c r="M37" s="1036">
        <f>(TariffRandValues2324Reworked!M37*'MSCOA - Tariff Structure'!$R$2)+TariffRandValues2324Reworked!M37</f>
        <v>1536860.4372071505</v>
      </c>
      <c r="N37" s="1036">
        <f>(TariffRandValues2324Reworked!N37*'MSCOA - Tariff Structure'!$R$2)+TariffRandValues2324Reworked!N37</f>
        <v>1498938.2871308567</v>
      </c>
      <c r="O37" s="1036">
        <f>(TariffRandValues2324Reworked!O37*'MSCOA - Tariff Structure'!$R$2)+TariffRandValues2324Reworked!O37</f>
        <v>1423490.8060479427</v>
      </c>
      <c r="P37" s="1036">
        <f>(TariffRandValues2324Reworked!P37*'MSCOA - Tariff Structure'!$R$2)+TariffRandValues2324Reworked!P37</f>
        <v>1265341.9969715178</v>
      </c>
      <c r="Q37" s="1036">
        <f>(TariffRandValues2324Reworked!Q37*'MSCOA - Tariff Structure'!$R$2)+TariffRandValues2324Reworked!Q37</f>
        <v>1515533.4367992384</v>
      </c>
      <c r="R37" s="1036">
        <f>(TariffRandValues2324Reworked!R37*'MSCOA - Tariff Structure'!$R$2)+TariffRandValues2324Reworked!R37</f>
        <v>1531164.5988601223</v>
      </c>
      <c r="S37" s="1036">
        <f>(TariffRandValues2324Reworked!S37*'MSCOA - Tariff Structure'!$R$2)+TariffRandValues2324Reworked!S37</f>
        <v>1491075.0039870443</v>
      </c>
      <c r="T37" s="1036">
        <f>(TariffRandValues2324Reworked!T37*'MSCOA - Tariff Structure'!$R$2)+TariffRandValues2324Reworked!T37</f>
        <v>1556757.0135572457</v>
      </c>
      <c r="U37" s="1036">
        <f>(TariffRandValues2324Reworked!U37*'MSCOA - Tariff Structure'!$R$2)+TariffRandValues2324Reworked!U37</f>
        <v>2352901.8807699364</v>
      </c>
      <c r="V37" s="1036">
        <f>SUM(L37:T37)</f>
        <v>13273084.203794995</v>
      </c>
      <c r="W37" s="1036">
        <f>U37+J37+K37</f>
        <v>7055562.7908820212</v>
      </c>
    </row>
    <row r="38" spans="1:24" x14ac:dyDescent="0.35">
      <c r="A38" s="1038" t="s">
        <v>398</v>
      </c>
      <c r="B38" s="1038" t="s">
        <v>390</v>
      </c>
      <c r="C38" s="1038" t="s">
        <v>863</v>
      </c>
      <c r="D38" s="1038" t="s">
        <v>866</v>
      </c>
      <c r="E38" s="1035" t="s">
        <v>870</v>
      </c>
      <c r="F38" s="1035" t="s">
        <v>873</v>
      </c>
      <c r="G38" s="1035"/>
      <c r="H38" s="1035"/>
      <c r="I38" s="1043">
        <f>SUM(J38:U38)</f>
        <v>29958768.246491365</v>
      </c>
      <c r="J38" s="1036">
        <f>(TariffRandValues2324Reworked!J38*'MSCOA - Tariff Structure'!$R$2)+TariffRandValues2324Reworked!J38</f>
        <v>3747348.7714393977</v>
      </c>
      <c r="K38" s="1036">
        <f>(TariffRandValues2324Reworked!K38*'MSCOA - Tariff Structure'!$R$2)+TariffRandValues2324Reworked!K38</f>
        <v>3361474.1265554847</v>
      </c>
      <c r="L38" s="1036">
        <f>(TariffRandValues2324Reworked!L38*'MSCOA - Tariff Structure'!$R$2)+TariffRandValues2324Reworked!L38</f>
        <v>2074075.2723478964</v>
      </c>
      <c r="M38" s="1036">
        <f>(TariffRandValues2324Reworked!M38*'MSCOA - Tariff Structure'!$R$2)+TariffRandValues2324Reworked!M38</f>
        <v>2266121.1407952229</v>
      </c>
      <c r="N38" s="1036">
        <f>(TariffRandValues2324Reworked!N38*'MSCOA - Tariff Structure'!$R$2)+TariffRandValues2324Reworked!N38</f>
        <v>2186623.5512259398</v>
      </c>
      <c r="O38" s="1036">
        <f>(TariffRandValues2324Reworked!O38*'MSCOA - Tariff Structure'!$R$2)+TariffRandValues2324Reworked!O38</f>
        <v>2081502.8668059367</v>
      </c>
      <c r="P38" s="1036">
        <f>(TariffRandValues2324Reworked!P38*'MSCOA - Tariff Structure'!$R$2)+TariffRandValues2324Reworked!P38</f>
        <v>1895519.9253318354</v>
      </c>
      <c r="Q38" s="1036">
        <f>(TariffRandValues2324Reworked!Q38*'MSCOA - Tariff Structure'!$R$2)+TariffRandValues2324Reworked!Q38</f>
        <v>2219584.2511322321</v>
      </c>
      <c r="R38" s="1036">
        <f>(TariffRandValues2324Reworked!R38*'MSCOA - Tariff Structure'!$R$2)+TariffRandValues2324Reworked!R38</f>
        <v>2015555.7189242309</v>
      </c>
      <c r="S38" s="1036">
        <f>(TariffRandValues2324Reworked!S38*'MSCOA - Tariff Structure'!$R$2)+TariffRandValues2324Reworked!S38</f>
        <v>2070387.6889921722</v>
      </c>
      <c r="T38" s="1036">
        <f>(TariffRandValues2324Reworked!T38*'MSCOA - Tariff Structure'!$R$2)+TariffRandValues2324Reworked!T38</f>
        <v>2285285.8310167645</v>
      </c>
      <c r="U38" s="1036">
        <f>(TariffRandValues2324Reworked!U38*'MSCOA - Tariff Structure'!$R$2)+TariffRandValues2324Reworked!U38</f>
        <v>3755289.1019242508</v>
      </c>
      <c r="V38" s="1036">
        <f>SUM(L38:T38)</f>
        <v>19094656.24657223</v>
      </c>
      <c r="W38" s="1036">
        <f>U38+J38+K38</f>
        <v>10864111.999919133</v>
      </c>
    </row>
    <row r="39" spans="1:24" x14ac:dyDescent="0.35">
      <c r="A39" s="1038" t="s">
        <v>394</v>
      </c>
      <c r="B39" s="1038" t="s">
        <v>386</v>
      </c>
      <c r="C39" s="1038" t="s">
        <v>865</v>
      </c>
      <c r="D39" s="1038" t="s">
        <v>868</v>
      </c>
      <c r="E39" s="1035" t="s">
        <v>872</v>
      </c>
      <c r="F39" s="1035" t="s">
        <v>869</v>
      </c>
      <c r="G39" s="1035"/>
      <c r="H39" s="1035"/>
      <c r="I39" s="1043">
        <f>SUM(J39:U39)</f>
        <v>22793425.106505807</v>
      </c>
      <c r="J39" s="1036">
        <f>(TariffRandValues2324Reworked!J39*'MSCOA - Tariff Structure'!$R$2)+TariffRandValues2324Reworked!J39</f>
        <v>2145777.5282970751</v>
      </c>
      <c r="K39" s="1036">
        <f>(TariffRandValues2324Reworked!K39*'MSCOA - Tariff Structure'!$R$2)+TariffRandValues2324Reworked!K39</f>
        <v>2453665.083611859</v>
      </c>
      <c r="L39" s="1036">
        <f>(TariffRandValues2324Reworked!L39*'MSCOA - Tariff Structure'!$R$2)+TariffRandValues2324Reworked!L39</f>
        <v>1705415.5042432509</v>
      </c>
      <c r="M39" s="1036">
        <f>(TariffRandValues2324Reworked!M39*'MSCOA - Tariff Structure'!$R$2)+TariffRandValues2324Reworked!M39</f>
        <v>1719001.5453297142</v>
      </c>
      <c r="N39" s="1036">
        <f>(TariffRandValues2324Reworked!N39*'MSCOA - Tariff Structure'!$R$2)+TariffRandValues2324Reworked!N39</f>
        <v>1770780.105350229</v>
      </c>
      <c r="O39" s="1036">
        <f>(TariffRandValues2324Reworked!O39*'MSCOA - Tariff Structure'!$R$2)+TariffRandValues2324Reworked!O39</f>
        <v>1910228.904185937</v>
      </c>
      <c r="P39" s="1036">
        <f>(TariffRandValues2324Reworked!P39*'MSCOA - Tariff Structure'!$R$2)+TariffRandValues2324Reworked!P39</f>
        <v>1747669.9847715441</v>
      </c>
      <c r="Q39" s="1036">
        <f>(TariffRandValues2324Reworked!Q39*'MSCOA - Tariff Structure'!$R$2)+TariffRandValues2324Reworked!Q39</f>
        <v>1683527.5957738401</v>
      </c>
      <c r="R39" s="1036">
        <f>(TariffRandValues2324Reworked!R39*'MSCOA - Tariff Structure'!$R$2)+TariffRandValues2324Reworked!R39</f>
        <v>1642892.2712990483</v>
      </c>
      <c r="S39" s="1036">
        <f>(TariffRandValues2324Reworked!S39*'MSCOA - Tariff Structure'!$R$2)+TariffRandValues2324Reworked!S39</f>
        <v>1803568.19017727</v>
      </c>
      <c r="T39" s="1036">
        <f>(TariffRandValues2324Reworked!T39*'MSCOA - Tariff Structure'!$R$2)+TariffRandValues2324Reworked!T39</f>
        <v>1764809.759408738</v>
      </c>
      <c r="U39" s="1036">
        <f>(TariffRandValues2324Reworked!U39*'MSCOA - Tariff Structure'!$R$2)+TariffRandValues2324Reworked!U39</f>
        <v>2446088.634057303</v>
      </c>
      <c r="V39" s="1036">
        <f>SUM(L39:T39)</f>
        <v>15747893.86053957</v>
      </c>
      <c r="W39" s="1036">
        <f>U39+J39+K39</f>
        <v>7045531.245966237</v>
      </c>
    </row>
    <row r="40" spans="1:24" ht="15" thickBot="1" x14ac:dyDescent="0.4">
      <c r="A40" s="247" t="s">
        <v>254</v>
      </c>
      <c r="I40" s="1060">
        <f>SUM(I41:I46)</f>
        <v>150189523.36715829</v>
      </c>
      <c r="J40" s="1031"/>
      <c r="K40" s="1031"/>
      <c r="L40" s="1031"/>
      <c r="M40" s="1031"/>
      <c r="N40" s="1031"/>
      <c r="O40" s="1031"/>
      <c r="P40" s="1031"/>
      <c r="Q40" s="1031"/>
      <c r="R40" s="1031"/>
      <c r="S40" s="1031"/>
      <c r="T40" s="1031"/>
      <c r="U40" s="1031"/>
      <c r="V40" s="611">
        <f>+V39+V38+V37+V36</f>
        <v>53167173.555138126</v>
      </c>
      <c r="W40" s="611">
        <f>+W39+W38+W37+W36</f>
        <v>26649052.451511174</v>
      </c>
      <c r="X40" s="245">
        <f>+W40+V40</f>
        <v>79816226.0066493</v>
      </c>
    </row>
    <row r="41" spans="1:24" ht="15" thickTop="1" x14ac:dyDescent="0.35">
      <c r="A41" s="1040" t="s">
        <v>256</v>
      </c>
      <c r="B41" s="1040" t="s">
        <v>256</v>
      </c>
      <c r="C41" s="1040" t="s">
        <v>862</v>
      </c>
      <c r="D41" s="1040" t="s">
        <v>1382</v>
      </c>
      <c r="E41" s="1040" t="s">
        <v>862</v>
      </c>
      <c r="F41" s="1040" t="s">
        <v>862</v>
      </c>
      <c r="G41" s="1040"/>
      <c r="H41" s="1040"/>
      <c r="I41" s="1041">
        <f t="shared" ref="I41:I46" si="0">SUM(J41:U41)</f>
        <v>219414.39519235949</v>
      </c>
      <c r="J41" s="1041">
        <f>(TariffRandValues2324Reworked!J41*'MSCOA - Tariff Structure'!$R$2)+TariffRandValues2324Reworked!J41</f>
        <v>18284.53293269662</v>
      </c>
      <c r="K41" s="1041">
        <f>(TariffRandValues2324Reworked!K41*'MSCOA - Tariff Structure'!$R$2)+TariffRandValues2324Reworked!K41</f>
        <v>18284.53293269662</v>
      </c>
      <c r="L41" s="1041">
        <f>(TariffRandValues2324Reworked!L41*'MSCOA - Tariff Structure'!$R$2)+TariffRandValues2324Reworked!L41</f>
        <v>18284.53293269662</v>
      </c>
      <c r="M41" s="1041">
        <f>(TariffRandValues2324Reworked!M41*'MSCOA - Tariff Structure'!$R$2)+TariffRandValues2324Reworked!M41</f>
        <v>18284.53293269662</v>
      </c>
      <c r="N41" s="1041">
        <f>(TariffRandValues2324Reworked!N41*'MSCOA - Tariff Structure'!$R$2)+TariffRandValues2324Reworked!N41</f>
        <v>18284.53293269662</v>
      </c>
      <c r="O41" s="1041">
        <f>(TariffRandValues2324Reworked!O41*'MSCOA - Tariff Structure'!$R$2)+TariffRandValues2324Reworked!O41</f>
        <v>18284.53293269662</v>
      </c>
      <c r="P41" s="1041">
        <f>(TariffRandValues2324Reworked!P41*'MSCOA - Tariff Structure'!$R$2)+TariffRandValues2324Reworked!P41</f>
        <v>18284.53293269662</v>
      </c>
      <c r="Q41" s="1041">
        <f>(TariffRandValues2324Reworked!Q41*'MSCOA - Tariff Structure'!$R$2)+TariffRandValues2324Reworked!Q41</f>
        <v>18284.53293269662</v>
      </c>
      <c r="R41" s="1041">
        <f>(TariffRandValues2324Reworked!R41*'MSCOA - Tariff Structure'!$R$2)+TariffRandValues2324Reworked!R41</f>
        <v>18284.53293269662</v>
      </c>
      <c r="S41" s="1041">
        <f>(TariffRandValues2324Reworked!S41*'MSCOA - Tariff Structure'!$R$2)+TariffRandValues2324Reworked!S41</f>
        <v>18284.53293269662</v>
      </c>
      <c r="T41" s="1041">
        <f>(TariffRandValues2324Reworked!T41*'MSCOA - Tariff Structure'!$R$2)+TariffRandValues2324Reworked!T41</f>
        <v>18284.53293269662</v>
      </c>
      <c r="U41" s="1041">
        <f>(TariffRandValues2324Reworked!U41*'MSCOA - Tariff Structure'!$R$2)+TariffRandValues2324Reworked!U41</f>
        <v>18284.53293269662</v>
      </c>
      <c r="V41" s="1041">
        <f t="shared" ref="V41:V46" si="1">SUM(L41:T41)</f>
        <v>164560.79639426959</v>
      </c>
      <c r="W41" s="1041">
        <f t="shared" ref="W41:W46" si="2">U41+J41+K41</f>
        <v>54853.598798089864</v>
      </c>
    </row>
    <row r="42" spans="1:24" x14ac:dyDescent="0.35">
      <c r="A42" s="1051" t="s">
        <v>256</v>
      </c>
      <c r="B42" s="1051" t="s">
        <v>256</v>
      </c>
      <c r="C42" s="1051" t="s">
        <v>862</v>
      </c>
      <c r="D42" s="1051" t="s">
        <v>862</v>
      </c>
      <c r="E42" s="1052" t="s">
        <v>862</v>
      </c>
      <c r="F42" s="1052" t="s">
        <v>862</v>
      </c>
      <c r="G42" s="1052"/>
      <c r="H42" s="1052"/>
      <c r="I42" s="1053">
        <f t="shared" si="0"/>
        <v>15036374.389787033</v>
      </c>
      <c r="J42" s="1053">
        <f>(TariffRandValues2324Reworked!J42*'MSCOA - Tariff Structure'!$R$2)+TariffRandValues2324Reworked!J42</f>
        <v>1093340.4334350419</v>
      </c>
      <c r="K42" s="1053">
        <f>(TariffRandValues2324Reworked!K42*'MSCOA - Tariff Structure'!$R$2)+TariffRandValues2324Reworked!K42</f>
        <v>1093340.4334350419</v>
      </c>
      <c r="L42" s="1053">
        <f>(TariffRandValues2324Reworked!L42*'MSCOA - Tariff Structure'!$R$2)+TariffRandValues2324Reworked!L42</f>
        <v>1457785.1410031007</v>
      </c>
      <c r="M42" s="1053">
        <f>(TariffRandValues2324Reworked!M42*'MSCOA - Tariff Structure'!$R$2)+TariffRandValues2324Reworked!M42</f>
        <v>1457785.1410031007</v>
      </c>
      <c r="N42" s="1053">
        <f>(TariffRandValues2324Reworked!N42*'MSCOA - Tariff Structure'!$R$2)+TariffRandValues2324Reworked!N42</f>
        <v>1457785.1410031007</v>
      </c>
      <c r="O42" s="1053">
        <f>(TariffRandValues2324Reworked!O42*'MSCOA - Tariff Structure'!$R$2)+TariffRandValues2324Reworked!O42</f>
        <v>1457785.1410031007</v>
      </c>
      <c r="P42" s="1053">
        <f>(TariffRandValues2324Reworked!P42*'MSCOA - Tariff Structure'!$R$2)+TariffRandValues2324Reworked!P42</f>
        <v>1457785.1410031007</v>
      </c>
      <c r="Q42" s="1053">
        <f>(TariffRandValues2324Reworked!Q42*'MSCOA - Tariff Structure'!$R$2)+TariffRandValues2324Reworked!Q42</f>
        <v>1106123.8705945867</v>
      </c>
      <c r="R42" s="1053">
        <f>(TariffRandValues2324Reworked!R42*'MSCOA - Tariff Structure'!$R$2)+TariffRandValues2324Reworked!R42</f>
        <v>1066456.7199417099</v>
      </c>
      <c r="S42" s="1053">
        <f>(TariffRandValues2324Reworked!S42*'MSCOA - Tariff Structure'!$R$2)+TariffRandValues2324Reworked!S42</f>
        <v>1070148.4974988927</v>
      </c>
      <c r="T42" s="1053">
        <f>(TariffRandValues2324Reworked!T42*'MSCOA - Tariff Structure'!$R$2)+TariffRandValues2324Reworked!T42</f>
        <v>1112472.4658467679</v>
      </c>
      <c r="U42" s="1053">
        <f>(TariffRandValues2324Reworked!U42*'MSCOA - Tariff Structure'!$R$2)+TariffRandValues2324Reworked!U42</f>
        <v>1205566.2640194918</v>
      </c>
      <c r="V42" s="1054">
        <f t="shared" si="1"/>
        <v>11644127.258897459</v>
      </c>
      <c r="W42" s="1054">
        <f t="shared" si="2"/>
        <v>3392247.1308895755</v>
      </c>
    </row>
    <row r="43" spans="1:24" x14ac:dyDescent="0.35">
      <c r="A43" s="1051" t="s">
        <v>257</v>
      </c>
      <c r="B43" s="1051" t="s">
        <v>257</v>
      </c>
      <c r="C43" s="1051" t="s">
        <v>861</v>
      </c>
      <c r="D43" s="1055" t="s">
        <v>1385</v>
      </c>
      <c r="E43" s="1052" t="s">
        <v>861</v>
      </c>
      <c r="F43" s="1052" t="s">
        <v>861</v>
      </c>
      <c r="G43" s="1052"/>
      <c r="H43" s="1052"/>
      <c r="I43" s="1053">
        <f t="shared" si="0"/>
        <v>30163576.476145022</v>
      </c>
      <c r="J43" s="1053">
        <f>(TariffRandValues2324Reworked!J43*'MSCOA - Tariff Structure'!$R$2)+TariffRandValues2324Reworked!J43</f>
        <v>2954208.0993861551</v>
      </c>
      <c r="K43" s="1053">
        <f>(TariffRandValues2324Reworked!K43*'MSCOA - Tariff Structure'!$R$2)+TariffRandValues2324Reworked!K43</f>
        <v>2746671.660888196</v>
      </c>
      <c r="L43" s="1053">
        <f>(TariffRandValues2324Reworked!L43*'MSCOA - Tariff Structure'!$R$2)+TariffRandValues2324Reworked!L43</f>
        <v>2873044.8320282586</v>
      </c>
      <c r="M43" s="1053">
        <f>(TariffRandValues2324Reworked!M43*'MSCOA - Tariff Structure'!$R$2)+TariffRandValues2324Reworked!M43</f>
        <v>2431011.3290605857</v>
      </c>
      <c r="N43" s="1053">
        <f>(TariffRandValues2324Reworked!N43*'MSCOA - Tariff Structure'!$R$2)+TariffRandValues2324Reworked!N43</f>
        <v>2408576.3832910904</v>
      </c>
      <c r="O43" s="1053">
        <f>(TariffRandValues2324Reworked!O43*'MSCOA - Tariff Structure'!$R$2)+TariffRandValues2324Reworked!O43</f>
        <v>2266750.2419267292</v>
      </c>
      <c r="P43" s="1053">
        <f>(TariffRandValues2324Reworked!P43*'MSCOA - Tariff Structure'!$R$2)+TariffRandValues2324Reworked!P43</f>
        <v>2186003.1964527196</v>
      </c>
      <c r="Q43" s="1053">
        <f>(TariffRandValues2324Reworked!Q43*'MSCOA - Tariff Structure'!$R$2)+TariffRandValues2324Reworked!Q43</f>
        <v>2146227.6262812987</v>
      </c>
      <c r="R43" s="1053">
        <f>(TariffRandValues2324Reworked!R43*'MSCOA - Tariff Structure'!$R$2)+TariffRandValues2324Reworked!R43</f>
        <v>2124566.5014790292</v>
      </c>
      <c r="S43" s="1053">
        <f>(TariffRandValues2324Reworked!S43*'MSCOA - Tariff Structure'!$R$2)+TariffRandValues2324Reworked!S43</f>
        <v>2126630.0240582977</v>
      </c>
      <c r="T43" s="1053">
        <f>(TariffRandValues2324Reworked!T43*'MSCOA - Tariff Structure'!$R$2)+TariffRandValues2324Reworked!T43</f>
        <v>2734167.4175314326</v>
      </c>
      <c r="U43" s="1053">
        <f>(TariffRandValues2324Reworked!U43*'MSCOA - Tariff Structure'!$R$2)+TariffRandValues2324Reworked!U43</f>
        <v>3165719.1637612279</v>
      </c>
      <c r="V43" s="1054">
        <f t="shared" si="1"/>
        <v>21296977.552109443</v>
      </c>
      <c r="W43" s="1054">
        <f t="shared" si="2"/>
        <v>8866598.924035579</v>
      </c>
    </row>
    <row r="44" spans="1:24" x14ac:dyDescent="0.35">
      <c r="A44" s="1038" t="s">
        <v>435</v>
      </c>
      <c r="B44" s="1038" t="s">
        <v>258</v>
      </c>
      <c r="C44" s="1038" t="s">
        <v>857</v>
      </c>
      <c r="D44" s="1038" t="s">
        <v>859</v>
      </c>
      <c r="E44" s="1035" t="s">
        <v>857</v>
      </c>
      <c r="F44" s="1035" t="s">
        <v>859</v>
      </c>
      <c r="G44" s="1035"/>
      <c r="H44" s="1035"/>
      <c r="I44" s="1043">
        <f t="shared" si="0"/>
        <v>27682500.332317628</v>
      </c>
      <c r="J44" s="1036">
        <f>(TariffRandValues2324Reworked!J44*'MSCOA - Tariff Structure'!$R$2)+TariffRandValues2324Reworked!J44</f>
        <v>4415344.5593971871</v>
      </c>
      <c r="K44" s="1036">
        <f>(TariffRandValues2324Reworked!K44*'MSCOA - Tariff Structure'!$R$2)+TariffRandValues2324Reworked!K44</f>
        <v>4050376.0437827497</v>
      </c>
      <c r="L44" s="1036">
        <f>(TariffRandValues2324Reworked!L44*'MSCOA - Tariff Structure'!$R$2)+TariffRandValues2324Reworked!L44</f>
        <v>2131940.9623238272</v>
      </c>
      <c r="M44" s="1036">
        <f>(TariffRandValues2324Reworked!M44*'MSCOA - Tariff Structure'!$R$2)+TariffRandValues2324Reworked!M44</f>
        <v>1909739.6901382583</v>
      </c>
      <c r="N44" s="1036">
        <f>(TariffRandValues2324Reworked!N44*'MSCOA - Tariff Structure'!$R$2)+TariffRandValues2324Reworked!N44</f>
        <v>1847705.9066097823</v>
      </c>
      <c r="O44" s="1036">
        <f>(TariffRandValues2324Reworked!O44*'MSCOA - Tariff Structure'!$R$2)+TariffRandValues2324Reworked!O44</f>
        <v>1330642.4118128638</v>
      </c>
      <c r="P44" s="1036">
        <f>(TariffRandValues2324Reworked!P44*'MSCOA - Tariff Structure'!$R$2)+TariffRandValues2324Reworked!P44</f>
        <v>1449660.2892169317</v>
      </c>
      <c r="Q44" s="1036">
        <f>(TariffRandValues2324Reworked!Q44*'MSCOA - Tariff Structure'!$R$2)+TariffRandValues2324Reworked!Q44</f>
        <v>1395469.8001835567</v>
      </c>
      <c r="R44" s="1036">
        <f>(TariffRandValues2324Reworked!R44*'MSCOA - Tariff Structure'!$R$2)+TariffRandValues2324Reworked!R44</f>
        <v>1364022.5109876459</v>
      </c>
      <c r="S44" s="1036">
        <f>(TariffRandValues2324Reworked!S44*'MSCOA - Tariff Structure'!$R$2)+TariffRandValues2324Reworked!S44</f>
        <v>1507614.799425479</v>
      </c>
      <c r="T44" s="1036">
        <f>(TariffRandValues2324Reworked!T44*'MSCOA - Tariff Structure'!$R$2)+TariffRandValues2324Reworked!T44</f>
        <v>1997315.8679234509</v>
      </c>
      <c r="U44" s="1036">
        <f>(TariffRandValues2324Reworked!U44*'MSCOA - Tariff Structure'!$R$2)+TariffRandValues2324Reworked!U44</f>
        <v>4282667.4905158971</v>
      </c>
      <c r="V44" s="1036">
        <f t="shared" si="1"/>
        <v>14934112.238621796</v>
      </c>
      <c r="W44" s="1036">
        <f t="shared" si="2"/>
        <v>12748388.093695834</v>
      </c>
    </row>
    <row r="45" spans="1:24" x14ac:dyDescent="0.35">
      <c r="A45" s="1038" t="s">
        <v>438</v>
      </c>
      <c r="B45" s="1038" t="s">
        <v>259</v>
      </c>
      <c r="C45" s="1038" t="s">
        <v>856</v>
      </c>
      <c r="D45" s="1038" t="s">
        <v>858</v>
      </c>
      <c r="E45" s="1035" t="s">
        <v>856</v>
      </c>
      <c r="F45" s="1035" t="s">
        <v>858</v>
      </c>
      <c r="G45" s="1035"/>
      <c r="H45" s="1035"/>
      <c r="I45" s="1043">
        <f t="shared" si="0"/>
        <v>38801806.834038876</v>
      </c>
      <c r="J45" s="1036">
        <f>(TariffRandValues2324Reworked!J45*'MSCOA - Tariff Structure'!$R$2)+TariffRandValues2324Reworked!J45</f>
        <v>5356822.0073267752</v>
      </c>
      <c r="K45" s="1036">
        <f>(TariffRandValues2324Reworked!K45*'MSCOA - Tariff Structure'!$R$2)+TariffRandValues2324Reworked!K45</f>
        <v>4951097.6882719202</v>
      </c>
      <c r="L45" s="1036">
        <f>(TariffRandValues2324Reworked!L45*'MSCOA - Tariff Structure'!$R$2)+TariffRandValues2324Reworked!L45</f>
        <v>3094615.2522578319</v>
      </c>
      <c r="M45" s="1036">
        <f>(TariffRandValues2324Reworked!M45*'MSCOA - Tariff Structure'!$R$2)+TariffRandValues2324Reworked!M45</f>
        <v>2841662.3754003998</v>
      </c>
      <c r="N45" s="1036">
        <f>(TariffRandValues2324Reworked!N45*'MSCOA - Tariff Structure'!$R$2)+TariffRandValues2324Reworked!N45</f>
        <v>2785296.0020687701</v>
      </c>
      <c r="O45" s="1036">
        <f>(TariffRandValues2324Reworked!O45*'MSCOA - Tariff Structure'!$R$2)+TariffRandValues2324Reworked!O45</f>
        <v>2037519.6232805208</v>
      </c>
      <c r="P45" s="1036">
        <f>(TariffRandValues2324Reworked!P45*'MSCOA - Tariff Structure'!$R$2)+TariffRandValues2324Reworked!P45</f>
        <v>2241791.0838196967</v>
      </c>
      <c r="Q45" s="1036">
        <f>(TariffRandValues2324Reworked!Q45*'MSCOA - Tariff Structure'!$R$2)+TariffRandValues2324Reworked!Q45</f>
        <v>2177620.5259327795</v>
      </c>
      <c r="R45" s="1036">
        <f>(TariffRandValues2324Reworked!R45*'MSCOA - Tariff Structure'!$R$2)+TariffRandValues2324Reworked!R45</f>
        <v>2543342.5992627749</v>
      </c>
      <c r="S45" s="1036">
        <f>(TariffRandValues2324Reworked!S45*'MSCOA - Tariff Structure'!$R$2)+TariffRandValues2324Reworked!S45</f>
        <v>2367180.2395344074</v>
      </c>
      <c r="T45" s="1036">
        <f>(TariffRandValues2324Reworked!T45*'MSCOA - Tariff Structure'!$R$2)+TariffRandValues2324Reworked!T45</f>
        <v>3081539.4331520954</v>
      </c>
      <c r="U45" s="1036">
        <f>(TariffRandValues2324Reworked!U45*'MSCOA - Tariff Structure'!$R$2)+TariffRandValues2324Reworked!U45</f>
        <v>5323320.0037308978</v>
      </c>
      <c r="V45" s="1036">
        <f t="shared" si="1"/>
        <v>23170567.134709276</v>
      </c>
      <c r="W45" s="1036">
        <f t="shared" si="2"/>
        <v>15631239.699329592</v>
      </c>
    </row>
    <row r="46" spans="1:24" x14ac:dyDescent="0.35">
      <c r="A46" s="1038" t="s">
        <v>491</v>
      </c>
      <c r="B46" s="1038" t="s">
        <v>260</v>
      </c>
      <c r="C46" s="1038" t="s">
        <v>490</v>
      </c>
      <c r="D46" s="1038" t="s">
        <v>860</v>
      </c>
      <c r="E46" s="1035" t="s">
        <v>490</v>
      </c>
      <c r="F46" s="1035" t="s">
        <v>860</v>
      </c>
      <c r="G46" s="1035"/>
      <c r="H46" s="1035"/>
      <c r="I46" s="1043">
        <f t="shared" si="0"/>
        <v>38285850.939677343</v>
      </c>
      <c r="J46" s="1036">
        <f>(TariffRandValues2324Reworked!J46*'MSCOA - Tariff Structure'!$R$2)+TariffRandValues2324Reworked!J46</f>
        <v>5034652.96802714</v>
      </c>
      <c r="K46" s="1036">
        <f>(TariffRandValues2324Reworked!K46*'MSCOA - Tariff Structure'!$R$2)+TariffRandValues2324Reworked!K46</f>
        <v>5240069.9850698179</v>
      </c>
      <c r="L46" s="1036">
        <f>(TariffRandValues2324Reworked!L46*'MSCOA - Tariff Structure'!$R$2)+TariffRandValues2324Reworked!L46</f>
        <v>2964604.9396546776</v>
      </c>
      <c r="M46" s="1036">
        <f>(TariffRandValues2324Reworked!M46*'MSCOA - Tariff Structure'!$R$2)+TariffRandValues2324Reworked!M46</f>
        <v>2898128.0951214549</v>
      </c>
      <c r="N46" s="1036">
        <f>(TariffRandValues2324Reworked!N46*'MSCOA - Tariff Structure'!$R$2)+TariffRandValues2324Reworked!N46</f>
        <v>2554255.5218982338</v>
      </c>
      <c r="O46" s="1036">
        <f>(TariffRandValues2324Reworked!O46*'MSCOA - Tariff Structure'!$R$2)+TariffRandValues2324Reworked!O46</f>
        <v>2430414.6909405855</v>
      </c>
      <c r="P46" s="1036">
        <f>(TariffRandValues2324Reworked!P46*'MSCOA - Tariff Structure'!$R$2)+TariffRandValues2324Reworked!P46</f>
        <v>2392951.4161916012</v>
      </c>
      <c r="Q46" s="1036">
        <f>(TariffRandValues2324Reworked!Q46*'MSCOA - Tariff Structure'!$R$2)+TariffRandValues2324Reworked!Q46</f>
        <v>1891940.9351159805</v>
      </c>
      <c r="R46" s="1036">
        <f>(TariffRandValues2324Reworked!R46*'MSCOA - Tariff Structure'!$R$2)+TariffRandValues2324Reworked!R46</f>
        <v>2396095.5361595792</v>
      </c>
      <c r="S46" s="1036">
        <f>(TariffRandValues2324Reworked!S46*'MSCOA - Tariff Structure'!$R$2)+TariffRandValues2324Reworked!S46</f>
        <v>2458921.0801127236</v>
      </c>
      <c r="T46" s="1036">
        <f>(TariffRandValues2324Reworked!T46*'MSCOA - Tariff Structure'!$R$2)+TariffRandValues2324Reworked!T46</f>
        <v>2856427.0134936981</v>
      </c>
      <c r="U46" s="1036">
        <f>(TariffRandValues2324Reworked!U46*'MSCOA - Tariff Structure'!$R$2)+TariffRandValues2324Reworked!U46</f>
        <v>5167388.7578918561</v>
      </c>
      <c r="V46" s="1036">
        <f t="shared" si="1"/>
        <v>22843739.228688534</v>
      </c>
      <c r="W46" s="1036">
        <f t="shared" si="2"/>
        <v>15442111.710988816</v>
      </c>
    </row>
    <row r="47" spans="1:24" ht="15" thickBot="1" x14ac:dyDescent="0.4">
      <c r="A47" s="247" t="s">
        <v>261</v>
      </c>
      <c r="I47" s="1060">
        <f>SUM(I48:I53)</f>
        <v>997853387.11318672</v>
      </c>
      <c r="J47" s="1031"/>
      <c r="K47" s="1031"/>
      <c r="L47" s="1031"/>
      <c r="M47" s="1031"/>
      <c r="N47" s="1031"/>
      <c r="O47" s="1031"/>
      <c r="P47" s="1031"/>
      <c r="Q47" s="1031"/>
      <c r="R47" s="1031"/>
      <c r="S47" s="1031"/>
      <c r="T47" s="1031"/>
      <c r="U47" s="1031"/>
      <c r="V47" s="611">
        <f>+V46+V45+V44+V43+V42+V41</f>
        <v>94054084.20942077</v>
      </c>
      <c r="W47" s="611">
        <f>+W46+W45+W44+W43+W42+W41</f>
        <v>56135439.157737479</v>
      </c>
      <c r="X47" s="245">
        <f>+W47+V47</f>
        <v>150189523.36715823</v>
      </c>
    </row>
    <row r="48" spans="1:24" ht="15" thickTop="1" x14ac:dyDescent="0.35">
      <c r="A48" s="1040" t="s">
        <v>262</v>
      </c>
      <c r="B48" s="1040" t="s">
        <v>262</v>
      </c>
      <c r="C48" s="1040" t="s">
        <v>854</v>
      </c>
      <c r="D48" s="1040" t="s">
        <v>1383</v>
      </c>
      <c r="E48" s="1040" t="s">
        <v>854</v>
      </c>
      <c r="F48" s="1040" t="s">
        <v>854</v>
      </c>
      <c r="G48" s="1040"/>
      <c r="H48" s="1040"/>
      <c r="I48" s="1041">
        <f>SUM(J48:U48)</f>
        <v>8335509.6774969539</v>
      </c>
      <c r="J48" s="1041">
        <f>(TariffRandValues2324Reworked!J48*'MSCOA - Tariff Structure'!$R$2)+TariffRandValues2324Reworked!J48</f>
        <v>694625.80645807961</v>
      </c>
      <c r="K48" s="1041">
        <f>(TariffRandValues2324Reworked!K48*'MSCOA - Tariff Structure'!$R$2)+TariffRandValues2324Reworked!K48</f>
        <v>694625.80645807961</v>
      </c>
      <c r="L48" s="1041">
        <f>(TariffRandValues2324Reworked!L48*'MSCOA - Tariff Structure'!$R$2)+TariffRandValues2324Reworked!L48</f>
        <v>694625.80645807961</v>
      </c>
      <c r="M48" s="1041">
        <f>(TariffRandValues2324Reworked!M48*'MSCOA - Tariff Structure'!$R$2)+TariffRandValues2324Reworked!M48</f>
        <v>694625.80645807961</v>
      </c>
      <c r="N48" s="1041">
        <f>(TariffRandValues2324Reworked!N48*'MSCOA - Tariff Structure'!$R$2)+TariffRandValues2324Reworked!N48</f>
        <v>694625.80645807961</v>
      </c>
      <c r="O48" s="1041">
        <f>(TariffRandValues2324Reworked!O48*'MSCOA - Tariff Structure'!$R$2)+TariffRandValues2324Reworked!O48</f>
        <v>694625.80645807961</v>
      </c>
      <c r="P48" s="1041">
        <f>(TariffRandValues2324Reworked!P48*'MSCOA - Tariff Structure'!$R$2)+TariffRandValues2324Reworked!P48</f>
        <v>694625.80645807961</v>
      </c>
      <c r="Q48" s="1041">
        <f>(TariffRandValues2324Reworked!Q48*'MSCOA - Tariff Structure'!$R$2)+TariffRandValues2324Reworked!Q48</f>
        <v>694625.80645807961</v>
      </c>
      <c r="R48" s="1041">
        <f>(TariffRandValues2324Reworked!R48*'MSCOA - Tariff Structure'!$R$2)+TariffRandValues2324Reworked!R48</f>
        <v>694625.80645807961</v>
      </c>
      <c r="S48" s="1041">
        <f>(TariffRandValues2324Reworked!S48*'MSCOA - Tariff Structure'!$R$2)+TariffRandValues2324Reworked!S48</f>
        <v>694625.80645807961</v>
      </c>
      <c r="T48" s="1041">
        <f>(TariffRandValues2324Reworked!T48*'MSCOA - Tariff Structure'!$R$2)+TariffRandValues2324Reworked!T48</f>
        <v>694625.80645807961</v>
      </c>
      <c r="U48" s="1041">
        <f>(TariffRandValues2324Reworked!U48*'MSCOA - Tariff Structure'!$R$2)+TariffRandValues2324Reworked!U48</f>
        <v>694625.80645807961</v>
      </c>
      <c r="V48" s="1041">
        <f t="shared" ref="V48:V53" si="3">SUM(L48:T48)</f>
        <v>6251632.2581227161</v>
      </c>
      <c r="W48" s="1041">
        <f t="shared" ref="W48:W53" si="4">U48+J48+K48</f>
        <v>2083877.4193742387</v>
      </c>
    </row>
    <row r="49" spans="1:24" x14ac:dyDescent="0.35">
      <c r="A49" s="1051" t="s">
        <v>262</v>
      </c>
      <c r="B49" s="1051" t="s">
        <v>262</v>
      </c>
      <c r="C49" s="1051" t="s">
        <v>854</v>
      </c>
      <c r="D49" s="1051" t="s">
        <v>854</v>
      </c>
      <c r="E49" s="1052" t="s">
        <v>854</v>
      </c>
      <c r="F49" s="1052" t="s">
        <v>854</v>
      </c>
      <c r="G49" s="1052"/>
      <c r="H49" s="1052"/>
      <c r="I49" s="1053">
        <f t="shared" ref="I49:I53" si="5">SUM(J49:U49)</f>
        <v>94932308.43485491</v>
      </c>
      <c r="J49" s="1053">
        <f>(TariffRandValues2324Reworked!J49*'MSCOA - Tariff Structure'!$R$2)+TariffRandValues2324Reworked!J49</f>
        <v>7966599.1927064788</v>
      </c>
      <c r="K49" s="1053">
        <f>(TariffRandValues2324Reworked!K49*'MSCOA - Tariff Structure'!$R$2)+TariffRandValues2324Reworked!K49</f>
        <v>7936496.3995742286</v>
      </c>
      <c r="L49" s="1053">
        <f>(TariffRandValues2324Reworked!L49*'MSCOA - Tariff Structure'!$R$2)+TariffRandValues2324Reworked!L49</f>
        <v>7883991.5278319307</v>
      </c>
      <c r="M49" s="1053">
        <f>(TariffRandValues2324Reworked!M49*'MSCOA - Tariff Structure'!$R$2)+TariffRandValues2324Reworked!M49</f>
        <v>7898412.8659371492</v>
      </c>
      <c r="N49" s="1053">
        <f>(TariffRandValues2324Reworked!N49*'MSCOA - Tariff Structure'!$R$2)+TariffRandValues2324Reworked!N49</f>
        <v>7936356.3865829157</v>
      </c>
      <c r="O49" s="1053">
        <f>(TariffRandValues2324Reworked!O49*'MSCOA - Tariff Structure'!$R$2)+TariffRandValues2324Reworked!O49</f>
        <v>7846608.0591514166</v>
      </c>
      <c r="P49" s="1053">
        <f>(TariffRandValues2324Reworked!P49*'MSCOA - Tariff Structure'!$R$2)+TariffRandValues2324Reworked!P49</f>
        <v>7821545.7337064259</v>
      </c>
      <c r="Q49" s="1053">
        <f>(TariffRandValues2324Reworked!Q49*'MSCOA - Tariff Structure'!$R$2)+TariffRandValues2324Reworked!Q49</f>
        <v>7969119.4265501071</v>
      </c>
      <c r="R49" s="1053">
        <f>(TariffRandValues2324Reworked!R49*'MSCOA - Tariff Structure'!$R$2)+TariffRandValues2324Reworked!R49</f>
        <v>7821965.7726803636</v>
      </c>
      <c r="S49" s="1053">
        <f>(TariffRandValues2324Reworked!S49*'MSCOA - Tariff Structure'!$R$2)+TariffRandValues2324Reworked!S49</f>
        <v>7874190.6184400367</v>
      </c>
      <c r="T49" s="1053">
        <f>(TariffRandValues2324Reworked!T49*'MSCOA - Tariff Structure'!$R$2)+TariffRandValues2324Reworked!T49</f>
        <v>7957498.3482711464</v>
      </c>
      <c r="U49" s="1053">
        <f>(TariffRandValues2324Reworked!U49*'MSCOA - Tariff Structure'!$R$2)+TariffRandValues2324Reworked!U49</f>
        <v>8019524.1034227125</v>
      </c>
      <c r="V49" s="1054">
        <f t="shared" si="3"/>
        <v>71009688.739151493</v>
      </c>
      <c r="W49" s="1054">
        <f t="shared" si="4"/>
        <v>23922619.695703421</v>
      </c>
    </row>
    <row r="50" spans="1:24" x14ac:dyDescent="0.35">
      <c r="A50" s="1051" t="s">
        <v>263</v>
      </c>
      <c r="B50" s="1051" t="s">
        <v>263</v>
      </c>
      <c r="C50" s="1051" t="s">
        <v>853</v>
      </c>
      <c r="D50" s="1051" t="s">
        <v>1384</v>
      </c>
      <c r="E50" s="1052" t="s">
        <v>853</v>
      </c>
      <c r="F50" s="1052" t="s">
        <v>853</v>
      </c>
      <c r="G50" s="1052"/>
      <c r="H50" s="1052"/>
      <c r="I50" s="1053">
        <f t="shared" si="5"/>
        <v>216978157.34700137</v>
      </c>
      <c r="J50" s="1053">
        <f>(TariffRandValues2324Reworked!J50*'MSCOA - Tariff Structure'!$R$2)+TariffRandValues2324Reworked!J50</f>
        <v>18540569.133399434</v>
      </c>
      <c r="K50" s="1053">
        <f>(TariffRandValues2324Reworked!K50*'MSCOA - Tariff Structure'!$R$2)+TariffRandValues2324Reworked!K50</f>
        <v>18056499.023637343</v>
      </c>
      <c r="L50" s="1053">
        <f>(TariffRandValues2324Reworked!L50*'MSCOA - Tariff Structure'!$R$2)+TariffRandValues2324Reworked!L50</f>
        <v>17770768.472192217</v>
      </c>
      <c r="M50" s="1053">
        <f>(TariffRandValues2324Reworked!M50*'MSCOA - Tariff Structure'!$R$2)+TariffRandValues2324Reworked!M50</f>
        <v>17769248.628833465</v>
      </c>
      <c r="N50" s="1053">
        <f>(TariffRandValues2324Reworked!N50*'MSCOA - Tariff Structure'!$R$2)+TariffRandValues2324Reworked!N50</f>
        <v>18416321.938821565</v>
      </c>
      <c r="O50" s="1053">
        <f>(TariffRandValues2324Reworked!O50*'MSCOA - Tariff Structure'!$R$2)+TariffRandValues2324Reworked!O50</f>
        <v>17975567.364783868</v>
      </c>
      <c r="P50" s="1053">
        <f>(TariffRandValues2324Reworked!P50*'MSCOA - Tariff Structure'!$R$2)+TariffRandValues2324Reworked!P50</f>
        <v>18217982.380504604</v>
      </c>
      <c r="Q50" s="1053">
        <f>(TariffRandValues2324Reworked!Q50*'MSCOA - Tariff Structure'!$R$2)+TariffRandValues2324Reworked!Q50</f>
        <v>18170867.236383334</v>
      </c>
      <c r="R50" s="1053">
        <f>(TariffRandValues2324Reworked!R50*'MSCOA - Tariff Structure'!$R$2)+TariffRandValues2324Reworked!R50</f>
        <v>18060298.63203422</v>
      </c>
      <c r="S50" s="1053">
        <f>(TariffRandValues2324Reworked!S50*'MSCOA - Tariff Structure'!$R$2)+TariffRandValues2324Reworked!S50</f>
        <v>17816743.733794425</v>
      </c>
      <c r="T50" s="1053">
        <f>(TariffRandValues2324Reworked!T50*'MSCOA - Tariff Structure'!$R$2)+TariffRandValues2324Reworked!T50</f>
        <v>17742271.40921564</v>
      </c>
      <c r="U50" s="1053">
        <f>(TariffRandValues2324Reworked!U50*'MSCOA - Tariff Structure'!$R$2)+TariffRandValues2324Reworked!U50</f>
        <v>18441019.393401261</v>
      </c>
      <c r="V50" s="1054">
        <f>SUM(L50:T50)</f>
        <v>161940069.79656333</v>
      </c>
      <c r="W50" s="1054">
        <f t="shared" si="4"/>
        <v>55038087.550438032</v>
      </c>
    </row>
    <row r="51" spans="1:24" x14ac:dyDescent="0.35">
      <c r="A51" s="1038" t="s">
        <v>423</v>
      </c>
      <c r="B51" s="1038" t="s">
        <v>264</v>
      </c>
      <c r="C51" s="1038" t="s">
        <v>849</v>
      </c>
      <c r="D51" s="1038" t="s">
        <v>852</v>
      </c>
      <c r="E51" s="1035" t="s">
        <v>849</v>
      </c>
      <c r="F51" s="1035" t="s">
        <v>852</v>
      </c>
      <c r="G51" s="1035"/>
      <c r="H51" s="1035"/>
      <c r="I51" s="1043">
        <f t="shared" si="5"/>
        <v>175170544.18500468</v>
      </c>
      <c r="J51" s="1036">
        <f>(TariffRandValues2324Reworked!J51*'MSCOA - Tariff Structure'!$R$2)+TariffRandValues2324Reworked!J51</f>
        <v>25287645.979172312</v>
      </c>
      <c r="K51" s="1036">
        <f>(TariffRandValues2324Reworked!K51*'MSCOA - Tariff Structure'!$R$2)+TariffRandValues2324Reworked!K51</f>
        <v>24185665.841387466</v>
      </c>
      <c r="L51" s="1036">
        <f>(TariffRandValues2324Reworked!L51*'MSCOA - Tariff Structure'!$R$2)+TariffRandValues2324Reworked!L51</f>
        <v>11330321.164313333</v>
      </c>
      <c r="M51" s="1036">
        <f>(TariffRandValues2324Reworked!M51*'MSCOA - Tariff Structure'!$R$2)+TariffRandValues2324Reworked!M51</f>
        <v>11136096.208827365</v>
      </c>
      <c r="N51" s="1036">
        <f>(TariffRandValues2324Reworked!N51*'MSCOA - Tariff Structure'!$R$2)+TariffRandValues2324Reworked!N51</f>
        <v>11710181.176733181</v>
      </c>
      <c r="O51" s="1036">
        <f>(TariffRandValues2324Reworked!O51*'MSCOA - Tariff Structure'!$R$2)+TariffRandValues2324Reworked!O51</f>
        <v>10743809.687232578</v>
      </c>
      <c r="P51" s="1036">
        <f>(TariffRandValues2324Reworked!P51*'MSCOA - Tariff Structure'!$R$2)+TariffRandValues2324Reworked!P51</f>
        <v>11238068.656772312</v>
      </c>
      <c r="Q51" s="1036">
        <f>(TariffRandValues2324Reworked!Q51*'MSCOA - Tariff Structure'!$R$2)+TariffRandValues2324Reworked!Q51</f>
        <v>11295586.20655279</v>
      </c>
      <c r="R51" s="1036">
        <f>(TariffRandValues2324Reworked!R51*'MSCOA - Tariff Structure'!$R$2)+TariffRandValues2324Reworked!R51</f>
        <v>11918179.998986665</v>
      </c>
      <c r="S51" s="1036">
        <f>(TariffRandValues2324Reworked!S51*'MSCOA - Tariff Structure'!$R$2)+TariffRandValues2324Reworked!S51</f>
        <v>10451966.501006996</v>
      </c>
      <c r="T51" s="1036">
        <f>(TariffRandValues2324Reworked!T51*'MSCOA - Tariff Structure'!$R$2)+TariffRandValues2324Reworked!T51</f>
        <v>11458703.401550902</v>
      </c>
      <c r="U51" s="1036">
        <f>(TariffRandValues2324Reworked!U51*'MSCOA - Tariff Structure'!$R$2)+TariffRandValues2324Reworked!U51</f>
        <v>24414319.362468783</v>
      </c>
      <c r="V51" s="1036">
        <f t="shared" si="3"/>
        <v>101282913.00197612</v>
      </c>
      <c r="W51" s="1036">
        <f t="shared" si="4"/>
        <v>73887631.183028564</v>
      </c>
    </row>
    <row r="52" spans="1:24" x14ac:dyDescent="0.35">
      <c r="A52" s="1038" t="s">
        <v>425</v>
      </c>
      <c r="B52" s="1038" t="s">
        <v>265</v>
      </c>
      <c r="C52" s="1038" t="s">
        <v>848</v>
      </c>
      <c r="D52" s="1038" t="s">
        <v>851</v>
      </c>
      <c r="E52" s="1035" t="s">
        <v>848</v>
      </c>
      <c r="F52" s="1035" t="s">
        <v>851</v>
      </c>
      <c r="G52" s="1035"/>
      <c r="H52" s="1035"/>
      <c r="I52" s="1043">
        <f t="shared" si="5"/>
        <v>263507334.00698534</v>
      </c>
      <c r="J52" s="1036">
        <f>(TariffRandValues2324Reworked!J52*'MSCOA - Tariff Structure'!$R$2)+TariffRandValues2324Reworked!J52</f>
        <v>31891515.397840004</v>
      </c>
      <c r="K52" s="1036">
        <f>(TariffRandValues2324Reworked!K52*'MSCOA - Tariff Structure'!$R$2)+TariffRandValues2324Reworked!K52</f>
        <v>30299412.242490094</v>
      </c>
      <c r="L52" s="1036">
        <f>(TariffRandValues2324Reworked!L52*'MSCOA - Tariff Structure'!$R$2)+TariffRandValues2324Reworked!L52</f>
        <v>18768893.933386087</v>
      </c>
      <c r="M52" s="1036">
        <f>(TariffRandValues2324Reworked!M52*'MSCOA - Tariff Structure'!$R$2)+TariffRandValues2324Reworked!M52</f>
        <v>18720657.328167446</v>
      </c>
      <c r="N52" s="1036">
        <f>(TariffRandValues2324Reworked!N52*'MSCOA - Tariff Structure'!$R$2)+TariffRandValues2324Reworked!N52</f>
        <v>19475689.402717568</v>
      </c>
      <c r="O52" s="1036">
        <f>(TariffRandValues2324Reworked!O52*'MSCOA - Tariff Structure'!$R$2)+TariffRandValues2324Reworked!O52</f>
        <v>18176201.323016796</v>
      </c>
      <c r="P52" s="1036">
        <f>(TariffRandValues2324Reworked!P52*'MSCOA - Tariff Structure'!$R$2)+TariffRandValues2324Reworked!P52</f>
        <v>19137294.493762862</v>
      </c>
      <c r="Q52" s="1036">
        <f>(TariffRandValues2324Reworked!Q52*'MSCOA - Tariff Structure'!$R$2)+TariffRandValues2324Reworked!Q52</f>
        <v>19022846.921002693</v>
      </c>
      <c r="R52" s="1036">
        <f>(TariffRandValues2324Reworked!R52*'MSCOA - Tariff Structure'!$R$2)+TariffRandValues2324Reworked!R52</f>
        <v>20344925.417719513</v>
      </c>
      <c r="S52" s="1036">
        <f>(TariffRandValues2324Reworked!S52*'MSCOA - Tariff Structure'!$R$2)+TariffRandValues2324Reworked!S52</f>
        <v>17888313.465047836</v>
      </c>
      <c r="T52" s="1036">
        <f>(TariffRandValues2324Reworked!T52*'MSCOA - Tariff Structure'!$R$2)+TariffRandValues2324Reworked!T52</f>
        <v>18916247.41877082</v>
      </c>
      <c r="U52" s="1036">
        <f>(TariffRandValues2324Reworked!U52*'MSCOA - Tariff Structure'!$R$2)+TariffRandValues2324Reworked!U52</f>
        <v>30865336.663063657</v>
      </c>
      <c r="V52" s="1037">
        <f>SUM(L52:T52)</f>
        <v>170451069.70359161</v>
      </c>
      <c r="W52" s="1036">
        <f t="shared" si="4"/>
        <v>93056264.303393751</v>
      </c>
    </row>
    <row r="53" spans="1:24" x14ac:dyDescent="0.35">
      <c r="A53" s="1038" t="s">
        <v>421</v>
      </c>
      <c r="B53" s="1038" t="s">
        <v>266</v>
      </c>
      <c r="C53" s="1038" t="s">
        <v>850</v>
      </c>
      <c r="D53" s="1038" t="s">
        <v>855</v>
      </c>
      <c r="E53" s="1035" t="s">
        <v>850</v>
      </c>
      <c r="F53" s="1035" t="s">
        <v>855</v>
      </c>
      <c r="G53" s="1035"/>
      <c r="H53" s="1035"/>
      <c r="I53" s="1043">
        <f t="shared" si="5"/>
        <v>238929533.46184352</v>
      </c>
      <c r="J53" s="1036">
        <f>(TariffRandValues2324Reworked!J53*'MSCOA - Tariff Structure'!$R$2)+TariffRandValues2324Reworked!J53</f>
        <v>27949693.807257622</v>
      </c>
      <c r="K53" s="1036">
        <f>(TariffRandValues2324Reworked!K53*'MSCOA - Tariff Structure'!$R$2)+TariffRandValues2324Reworked!K53</f>
        <v>29296481.805111468</v>
      </c>
      <c r="L53" s="1036">
        <f>(TariffRandValues2324Reworked!L53*'MSCOA - Tariff Structure'!$R$2)+TariffRandValues2324Reworked!L53</f>
        <v>16380378.321305241</v>
      </c>
      <c r="M53" s="1036">
        <f>(TariffRandValues2324Reworked!M53*'MSCOA - Tariff Structure'!$R$2)+TariffRandValues2324Reworked!M53</f>
        <v>17269272.731518202</v>
      </c>
      <c r="N53" s="1036">
        <f>(TariffRandValues2324Reworked!N53*'MSCOA - Tariff Structure'!$R$2)+TariffRandValues2324Reworked!N53</f>
        <v>16662351.774718687</v>
      </c>
      <c r="O53" s="1036">
        <f>(TariffRandValues2324Reworked!O53*'MSCOA - Tariff Structure'!$R$2)+TariffRandValues2324Reworked!O53</f>
        <v>17570091.081326544</v>
      </c>
      <c r="P53" s="1036">
        <f>(TariffRandValues2324Reworked!P53*'MSCOA - Tariff Structure'!$R$2)+TariffRandValues2324Reworked!P53</f>
        <v>17659703.847941436</v>
      </c>
      <c r="Q53" s="1036">
        <f>(TariffRandValues2324Reworked!Q53*'MSCOA - Tariff Structure'!$R$2)+TariffRandValues2324Reworked!Q53</f>
        <v>15689595.516746959</v>
      </c>
      <c r="R53" s="1036">
        <f>(TariffRandValues2324Reworked!R53*'MSCOA - Tariff Structure'!$R$2)+TariffRandValues2324Reworked!R53</f>
        <v>16836055.144814555</v>
      </c>
      <c r="S53" s="1036">
        <f>(TariffRandValues2324Reworked!S53*'MSCOA - Tariff Structure'!$R$2)+TariffRandValues2324Reworked!S53</f>
        <v>17900926.757002056</v>
      </c>
      <c r="T53" s="1036">
        <f>(TariffRandValues2324Reworked!T53*'MSCOA - Tariff Structure'!$R$2)+TariffRandValues2324Reworked!T53</f>
        <v>17789877.291659731</v>
      </c>
      <c r="U53" s="1036">
        <f>(TariffRandValues2324Reworked!U53*'MSCOA - Tariff Structure'!$R$2)+TariffRandValues2324Reworked!U53</f>
        <v>27925105.382440988</v>
      </c>
      <c r="V53" s="1036">
        <f t="shared" si="3"/>
        <v>153758252.46703342</v>
      </c>
      <c r="W53" s="1036">
        <f t="shared" si="4"/>
        <v>85171280.994810075</v>
      </c>
    </row>
    <row r="54" spans="1:24" ht="15" thickBot="1" x14ac:dyDescent="0.4">
      <c r="A54" s="247" t="s">
        <v>267</v>
      </c>
      <c r="I54" s="1060">
        <f>SUM(I55:I60)</f>
        <v>490927650.00424659</v>
      </c>
      <c r="J54" s="1031"/>
      <c r="K54" s="1031"/>
      <c r="L54" s="1031"/>
      <c r="M54" s="1031"/>
      <c r="N54" s="1031"/>
      <c r="O54" s="1031"/>
      <c r="P54" s="1031"/>
      <c r="Q54" s="1031"/>
      <c r="R54" s="1031"/>
      <c r="S54" s="1031"/>
      <c r="T54" s="1031"/>
      <c r="U54" s="1031"/>
      <c r="V54" s="611">
        <f>+V53+V52+V51+V50+V49+V48</f>
        <v>664693625.96643865</v>
      </c>
      <c r="W54" s="611">
        <f>+W53+W52+W51+W50+W49+W48</f>
        <v>333159761.14674813</v>
      </c>
      <c r="X54" s="245">
        <f>+W54+V54</f>
        <v>997853387.11318684</v>
      </c>
    </row>
    <row r="55" spans="1:24" ht="15" thickTop="1" x14ac:dyDescent="0.35">
      <c r="A55" s="1040" t="s">
        <v>268</v>
      </c>
      <c r="B55" s="1040" t="s">
        <v>268</v>
      </c>
      <c r="C55" s="1040" t="s">
        <v>847</v>
      </c>
      <c r="D55" s="1040" t="s">
        <v>1386</v>
      </c>
      <c r="E55" s="1040" t="s">
        <v>847</v>
      </c>
      <c r="F55" s="1040" t="s">
        <v>847</v>
      </c>
      <c r="G55" s="1040"/>
      <c r="H55" s="1040"/>
      <c r="I55" s="1041">
        <f t="shared" ref="I55:I60" si="6">SUM(J55:U55)</f>
        <v>21570078.437977776</v>
      </c>
      <c r="J55" s="1041">
        <f>(TariffRandValues2324Reworked!J55*'MSCOA - Tariff Structure'!$R$2)+TariffRandValues2324Reworked!J55</f>
        <v>1797506.536498148</v>
      </c>
      <c r="K55" s="1041">
        <f>(TariffRandValues2324Reworked!K55*'MSCOA - Tariff Structure'!$R$2)+TariffRandValues2324Reworked!K55</f>
        <v>1797506.536498148</v>
      </c>
      <c r="L55" s="1041">
        <f>(TariffRandValues2324Reworked!L55*'MSCOA - Tariff Structure'!$R$2)+TariffRandValues2324Reworked!L55</f>
        <v>1797506.536498148</v>
      </c>
      <c r="M55" s="1041">
        <f>(TariffRandValues2324Reworked!M55*'MSCOA - Tariff Structure'!$R$2)+TariffRandValues2324Reworked!M55</f>
        <v>1797506.536498148</v>
      </c>
      <c r="N55" s="1041">
        <f>(TariffRandValues2324Reworked!N55*'MSCOA - Tariff Structure'!$R$2)+TariffRandValues2324Reworked!N55</f>
        <v>1797506.536498148</v>
      </c>
      <c r="O55" s="1041">
        <f>(TariffRandValues2324Reworked!O55*'MSCOA - Tariff Structure'!$R$2)+TariffRandValues2324Reworked!O55</f>
        <v>1797506.536498148</v>
      </c>
      <c r="P55" s="1041">
        <f>(TariffRandValues2324Reworked!P55*'MSCOA - Tariff Structure'!$R$2)+TariffRandValues2324Reworked!P55</f>
        <v>1797506.536498148</v>
      </c>
      <c r="Q55" s="1041">
        <f>(TariffRandValues2324Reworked!Q55*'MSCOA - Tariff Structure'!$R$2)+TariffRandValues2324Reworked!Q55</f>
        <v>1797506.536498148</v>
      </c>
      <c r="R55" s="1041">
        <f>(TariffRandValues2324Reworked!R55*'MSCOA - Tariff Structure'!$R$2)+TariffRandValues2324Reworked!R55</f>
        <v>1797506.536498148</v>
      </c>
      <c r="S55" s="1041">
        <f>(TariffRandValues2324Reworked!S55*'MSCOA - Tariff Structure'!$R$2)+TariffRandValues2324Reworked!S55</f>
        <v>1797506.536498148</v>
      </c>
      <c r="T55" s="1041">
        <f>(TariffRandValues2324Reworked!T55*'MSCOA - Tariff Structure'!$R$2)+TariffRandValues2324Reworked!T55</f>
        <v>1797506.536498148</v>
      </c>
      <c r="U55" s="1041">
        <f>(TariffRandValues2324Reworked!U55*'MSCOA - Tariff Structure'!$R$2)+TariffRandValues2324Reworked!U55</f>
        <v>1797506.536498148</v>
      </c>
      <c r="V55" s="1041">
        <f t="shared" ref="V55:V60" si="7">SUM(L55:T55)</f>
        <v>16177558.828483332</v>
      </c>
      <c r="W55" s="1041">
        <f t="shared" ref="W55:W60" si="8">U55+J55+K55</f>
        <v>5392519.609494444</v>
      </c>
    </row>
    <row r="56" spans="1:24" x14ac:dyDescent="0.35">
      <c r="A56" s="1051" t="s">
        <v>268</v>
      </c>
      <c r="B56" s="1051" t="s">
        <v>268</v>
      </c>
      <c r="C56" s="1051" t="s">
        <v>847</v>
      </c>
      <c r="D56" s="1051" t="s">
        <v>847</v>
      </c>
      <c r="E56" s="1052" t="s">
        <v>847</v>
      </c>
      <c r="F56" s="1052" t="s">
        <v>847</v>
      </c>
      <c r="G56" s="1052"/>
      <c r="H56" s="1052"/>
      <c r="I56" s="1053">
        <f t="shared" si="6"/>
        <v>54696923.428197414</v>
      </c>
      <c r="J56" s="1053">
        <f>(TariffRandValues2324Reworked!J56*'MSCOA - Tariff Structure'!$R$2)+TariffRandValues2324Reworked!J56</f>
        <v>5311698.3851515977</v>
      </c>
      <c r="K56" s="1053">
        <f>(TariffRandValues2324Reworked!K56*'MSCOA - Tariff Structure'!$R$2)+TariffRandValues2324Reworked!K56</f>
        <v>5127917.2987213656</v>
      </c>
      <c r="L56" s="1053">
        <f>(TariffRandValues2324Reworked!L56*'MSCOA - Tariff Structure'!$R$2)+TariffRandValues2324Reworked!L56</f>
        <v>5680148.3893474834</v>
      </c>
      <c r="M56" s="1053">
        <f>(TariffRandValues2324Reworked!M56*'MSCOA - Tariff Structure'!$R$2)+TariffRandValues2324Reworked!M56</f>
        <v>4230072.3975693937</v>
      </c>
      <c r="N56" s="1053">
        <f>(TariffRandValues2324Reworked!N56*'MSCOA - Tariff Structure'!$R$2)+TariffRandValues2324Reworked!N56</f>
        <v>4391657.7006143369</v>
      </c>
      <c r="O56" s="1053">
        <f>(TariffRandValues2324Reworked!O56*'MSCOA - Tariff Structure'!$R$2)+TariffRandValues2324Reworked!O56</f>
        <v>4218974.505876747</v>
      </c>
      <c r="P56" s="1053">
        <f>(TariffRandValues2324Reworked!P56*'MSCOA - Tariff Structure'!$R$2)+TariffRandValues2324Reworked!P56</f>
        <v>4250936.4339515716</v>
      </c>
      <c r="Q56" s="1053">
        <f>(TariffRandValues2324Reworked!Q56*'MSCOA - Tariff Structure'!$R$2)+TariffRandValues2324Reworked!Q56</f>
        <v>4347266.1338437488</v>
      </c>
      <c r="R56" s="1053">
        <f>(TariffRandValues2324Reworked!R56*'MSCOA - Tariff Structure'!$R$2)+TariffRandValues2324Reworked!R56</f>
        <v>4231404.1445725113</v>
      </c>
      <c r="S56" s="1053">
        <f>(TariffRandValues2324Reworked!S56*'MSCOA - Tariff Structure'!$R$2)+TariffRandValues2324Reworked!S56</f>
        <v>4278015.2896816293</v>
      </c>
      <c r="T56" s="1053">
        <f>(TariffRandValues2324Reworked!T56*'MSCOA - Tariff Structure'!$R$2)+TariffRandValues2324Reworked!T56</f>
        <v>4313528.5430980995</v>
      </c>
      <c r="U56" s="1053">
        <f>(TariffRandValues2324Reworked!U56*'MSCOA - Tariff Structure'!$R$2)+TariffRandValues2324Reworked!U56</f>
        <v>4315304.2057689242</v>
      </c>
      <c r="V56" s="1054">
        <f t="shared" si="7"/>
        <v>39942003.538555525</v>
      </c>
      <c r="W56" s="1054">
        <f t="shared" si="8"/>
        <v>14754919.889641888</v>
      </c>
      <c r="X56" s="245" t="e">
        <f>+#REF!+#REF!</f>
        <v>#REF!</v>
      </c>
    </row>
    <row r="57" spans="1:24" x14ac:dyDescent="0.35">
      <c r="A57" s="1051" t="s">
        <v>269</v>
      </c>
      <c r="B57" s="1051" t="s">
        <v>269</v>
      </c>
      <c r="C57" s="1051" t="s">
        <v>846</v>
      </c>
      <c r="D57" s="1051" t="s">
        <v>846</v>
      </c>
      <c r="E57" s="1052" t="s">
        <v>846</v>
      </c>
      <c r="F57" s="1052" t="s">
        <v>846</v>
      </c>
      <c r="G57" s="1052"/>
      <c r="H57" s="1052"/>
      <c r="I57" s="1053">
        <f t="shared" si="6"/>
        <v>109273355.13842402</v>
      </c>
      <c r="J57" s="1053">
        <f>(TariffRandValues2324Reworked!J57*'MSCOA - Tariff Structure'!$R$2)+TariffRandValues2324Reworked!J57</f>
        <v>9955923.3612269089</v>
      </c>
      <c r="K57" s="1053">
        <f>(TariffRandValues2324Reworked!K57*'MSCOA - Tariff Structure'!$R$2)+TariffRandValues2324Reworked!K57</f>
        <v>10807671.754188808</v>
      </c>
      <c r="L57" s="1053">
        <f>(TariffRandValues2324Reworked!L57*'MSCOA - Tariff Structure'!$R$2)+TariffRandValues2324Reworked!L57</f>
        <v>10439169.335067533</v>
      </c>
      <c r="M57" s="1053">
        <f>(TariffRandValues2324Reworked!M57*'MSCOA - Tariff Structure'!$R$2)+TariffRandValues2324Reworked!M57</f>
        <v>8552458.2547149938</v>
      </c>
      <c r="N57" s="1053">
        <f>(TariffRandValues2324Reworked!N57*'MSCOA - Tariff Structure'!$R$2)+TariffRandValues2324Reworked!N57</f>
        <v>9305951.3731222413</v>
      </c>
      <c r="O57" s="1053">
        <f>(TariffRandValues2324Reworked!O57*'MSCOA - Tariff Structure'!$R$2)+TariffRandValues2324Reworked!O57</f>
        <v>8405495.9605463073</v>
      </c>
      <c r="P57" s="1053">
        <f>(TariffRandValues2324Reworked!P57*'MSCOA - Tariff Structure'!$R$2)+TariffRandValues2324Reworked!P57</f>
        <v>8747992.8325496018</v>
      </c>
      <c r="Q57" s="1053">
        <f>(TariffRandValues2324Reworked!Q57*'MSCOA - Tariff Structure'!$R$2)+TariffRandValues2324Reworked!Q57</f>
        <v>9043162.8640578967</v>
      </c>
      <c r="R57" s="1053">
        <f>(TariffRandValues2324Reworked!R57*'MSCOA - Tariff Structure'!$R$2)+TariffRandValues2324Reworked!R57</f>
        <v>8388059.7561534131</v>
      </c>
      <c r="S57" s="1053">
        <f>(TariffRandValues2324Reworked!S57*'MSCOA - Tariff Structure'!$R$2)+TariffRandValues2324Reworked!S57</f>
        <v>8091644.2814741973</v>
      </c>
      <c r="T57" s="1053">
        <f>(TariffRandValues2324Reworked!T57*'MSCOA - Tariff Structure'!$R$2)+TariffRandValues2324Reworked!T57</f>
        <v>8512604.0732455198</v>
      </c>
      <c r="U57" s="1053">
        <f>(TariffRandValues2324Reworked!U57*'MSCOA - Tariff Structure'!$R$2)+TariffRandValues2324Reworked!U57</f>
        <v>9023221.2920765933</v>
      </c>
      <c r="V57" s="1054">
        <f t="shared" si="7"/>
        <v>79486538.730931714</v>
      </c>
      <c r="W57" s="1054">
        <f t="shared" si="8"/>
        <v>29786816.40749231</v>
      </c>
    </row>
    <row r="58" spans="1:24" x14ac:dyDescent="0.35">
      <c r="A58" s="1038" t="s">
        <v>337</v>
      </c>
      <c r="B58" s="1038" t="s">
        <v>330</v>
      </c>
      <c r="C58" s="1038" t="s">
        <v>841</v>
      </c>
      <c r="D58" s="1038" t="s">
        <v>844</v>
      </c>
      <c r="E58" s="1035" t="s">
        <v>841</v>
      </c>
      <c r="F58" s="1035" t="s">
        <v>844</v>
      </c>
      <c r="G58" s="1035"/>
      <c r="H58" s="1035"/>
      <c r="I58" s="1043">
        <f t="shared" si="6"/>
        <v>90351253.004419833</v>
      </c>
      <c r="J58" s="1036">
        <f>(TariffRandValues2324Reworked!J58*'MSCOA - Tariff Structure'!$R$2)+TariffRandValues2324Reworked!J58</f>
        <v>11839795.58957129</v>
      </c>
      <c r="K58" s="1036">
        <f>(TariffRandValues2324Reworked!K58*'MSCOA - Tariff Structure'!$R$2)+TariffRandValues2324Reworked!K58</f>
        <v>10999930.048428155</v>
      </c>
      <c r="L58" s="1036">
        <f>(TariffRandValues2324Reworked!L58*'MSCOA - Tariff Structure'!$R$2)+TariffRandValues2324Reworked!L58</f>
        <v>10634410.495962508</v>
      </c>
      <c r="M58" s="1036">
        <f>(TariffRandValues2324Reworked!M58*'MSCOA - Tariff Structure'!$R$2)+TariffRandValues2324Reworked!M58</f>
        <v>10579907.919696091</v>
      </c>
      <c r="N58" s="1036">
        <f>(TariffRandValues2324Reworked!N58*'MSCOA - Tariff Structure'!$R$2)+TariffRandValues2324Reworked!N58</f>
        <v>12113997.18623675</v>
      </c>
      <c r="O58" s="1036">
        <f>(TariffRandValues2324Reworked!O58*'MSCOA - Tariff Structure'!$R$2)+TariffRandValues2324Reworked!O58</f>
        <v>3968275.9388435287</v>
      </c>
      <c r="P58" s="1036">
        <f>(TariffRandValues2324Reworked!P58*'MSCOA - Tariff Structure'!$R$2)+TariffRandValues2324Reworked!P58</f>
        <v>4345553.4571000198</v>
      </c>
      <c r="Q58" s="1036">
        <f>(TariffRandValues2324Reworked!Q58*'MSCOA - Tariff Structure'!$R$2)+TariffRandValues2324Reworked!Q58</f>
        <v>4187305.3428351725</v>
      </c>
      <c r="R58" s="1036">
        <f>(TariffRandValues2324Reworked!R58*'MSCOA - Tariff Structure'!$R$2)+TariffRandValues2324Reworked!R58</f>
        <v>4430896.7898866385</v>
      </c>
      <c r="S58" s="1036">
        <f>(TariffRandValues2324Reworked!S58*'MSCOA - Tariff Structure'!$R$2)+TariffRandValues2324Reworked!S58</f>
        <v>3835547.6486916314</v>
      </c>
      <c r="T58" s="1036">
        <f>(TariffRandValues2324Reworked!T58*'MSCOA - Tariff Structure'!$R$2)+TariffRandValues2324Reworked!T58</f>
        <v>4382932.1229365692</v>
      </c>
      <c r="U58" s="1036">
        <f>(TariffRandValues2324Reworked!U58*'MSCOA - Tariff Structure'!$R$2)+TariffRandValues2324Reworked!U58</f>
        <v>9032700.4642314985</v>
      </c>
      <c r="V58" s="1036">
        <f t="shared" si="7"/>
        <v>58478826.902188912</v>
      </c>
      <c r="W58" s="1036">
        <f t="shared" si="8"/>
        <v>31872426.102230944</v>
      </c>
    </row>
    <row r="59" spans="1:24" x14ac:dyDescent="0.35">
      <c r="A59" s="1038" t="s">
        <v>339</v>
      </c>
      <c r="B59" s="1038" t="s">
        <v>332</v>
      </c>
      <c r="C59" s="1038" t="s">
        <v>840</v>
      </c>
      <c r="D59" s="1038" t="s">
        <v>843</v>
      </c>
      <c r="E59" s="1035" t="s">
        <v>840</v>
      </c>
      <c r="F59" s="1035" t="s">
        <v>843</v>
      </c>
      <c r="G59" s="1035"/>
      <c r="H59" s="1035"/>
      <c r="I59" s="1043">
        <f t="shared" si="6"/>
        <v>117567386.4043735</v>
      </c>
      <c r="J59" s="1036">
        <f>(TariffRandValues2324Reworked!J59*'MSCOA - Tariff Structure'!$R$2)+TariffRandValues2324Reworked!J59</f>
        <v>12728735.3203863</v>
      </c>
      <c r="K59" s="1036">
        <f>(TariffRandValues2324Reworked!K59*'MSCOA - Tariff Structure'!$R$2)+TariffRandValues2324Reworked!K59</f>
        <v>12882881.741930157</v>
      </c>
      <c r="L59" s="1036">
        <f>(TariffRandValues2324Reworked!L59*'MSCOA - Tariff Structure'!$R$2)+TariffRandValues2324Reworked!L59</f>
        <v>12658794.159323327</v>
      </c>
      <c r="M59" s="1036">
        <f>(TariffRandValues2324Reworked!M59*'MSCOA - Tariff Structure'!$R$2)+TariffRandValues2324Reworked!M59</f>
        <v>11007785.603280989</v>
      </c>
      <c r="N59" s="1036">
        <f>(TariffRandValues2324Reworked!N59*'MSCOA - Tariff Structure'!$R$2)+TariffRandValues2324Reworked!N59</f>
        <v>13953785.615891222</v>
      </c>
      <c r="O59" s="1036">
        <f>(TariffRandValues2324Reworked!O59*'MSCOA - Tariff Structure'!$R$2)+TariffRandValues2324Reworked!O59</f>
        <v>6601214.3882326083</v>
      </c>
      <c r="P59" s="1036">
        <f>(TariffRandValues2324Reworked!P59*'MSCOA - Tariff Structure'!$R$2)+TariffRandValues2324Reworked!P59</f>
        <v>7363211.5528926868</v>
      </c>
      <c r="Q59" s="1036">
        <f>(TariffRandValues2324Reworked!Q59*'MSCOA - Tariff Structure'!$R$2)+TariffRandValues2324Reworked!Q59</f>
        <v>8278293.5928242933</v>
      </c>
      <c r="R59" s="1036">
        <f>(TariffRandValues2324Reworked!R59*'MSCOA - Tariff Structure'!$R$2)+TariffRandValues2324Reworked!R59</f>
        <v>7516222.1030912558</v>
      </c>
      <c r="S59" s="1036">
        <f>(TariffRandValues2324Reworked!S59*'MSCOA - Tariff Structure'!$R$2)+TariffRandValues2324Reworked!S59</f>
        <v>6464332.3788661743</v>
      </c>
      <c r="T59" s="1036">
        <f>(TariffRandValues2324Reworked!T59*'MSCOA - Tariff Structure'!$R$2)+TariffRandValues2324Reworked!T59</f>
        <v>7027220.931410131</v>
      </c>
      <c r="U59" s="1036">
        <f>(TariffRandValues2324Reworked!U59*'MSCOA - Tariff Structure'!$R$2)+TariffRandValues2324Reworked!U59</f>
        <v>11084909.016244346</v>
      </c>
      <c r="V59" s="1036">
        <f t="shared" si="7"/>
        <v>80870860.325812712</v>
      </c>
      <c r="W59" s="1036">
        <f t="shared" si="8"/>
        <v>36696526.078560799</v>
      </c>
    </row>
    <row r="60" spans="1:24" x14ac:dyDescent="0.35">
      <c r="A60" s="1038" t="s">
        <v>335</v>
      </c>
      <c r="B60" s="1038" t="s">
        <v>328</v>
      </c>
      <c r="C60" s="1038" t="s">
        <v>842</v>
      </c>
      <c r="D60" s="1038" t="s">
        <v>845</v>
      </c>
      <c r="E60" s="1035" t="s">
        <v>842</v>
      </c>
      <c r="F60" s="1035" t="s">
        <v>845</v>
      </c>
      <c r="G60" s="1035"/>
      <c r="H60" s="1035"/>
      <c r="I60" s="1043">
        <f t="shared" si="6"/>
        <v>97468653.590854049</v>
      </c>
      <c r="J60" s="1036">
        <f>(TariffRandValues2324Reworked!J60*'MSCOA - Tariff Structure'!$R$2)+TariffRandValues2324Reworked!J60</f>
        <v>11072096.408924045</v>
      </c>
      <c r="K60" s="1036">
        <f>(TariffRandValues2324Reworked!K60*'MSCOA - Tariff Structure'!$R$2)+TariffRandValues2324Reworked!K60</f>
        <v>11041641.216744032</v>
      </c>
      <c r="L60" s="1036">
        <f>(TariffRandValues2324Reworked!L60*'MSCOA - Tariff Structure'!$R$2)+TariffRandValues2324Reworked!L60</f>
        <v>10817997.814977936</v>
      </c>
      <c r="M60" s="1036">
        <f>(TariffRandValues2324Reworked!M60*'MSCOA - Tariff Structure'!$R$2)+TariffRandValues2324Reworked!M60</f>
        <v>10890731.325317224</v>
      </c>
      <c r="N60" s="1036">
        <f>(TariffRandValues2324Reworked!N60*'MSCOA - Tariff Structure'!$R$2)+TariffRandValues2324Reworked!N60</f>
        <v>11564068.763174178</v>
      </c>
      <c r="O60" s="1036">
        <f>(TariffRandValues2324Reworked!O60*'MSCOA - Tariff Structure'!$R$2)+TariffRandValues2324Reworked!O60</f>
        <v>5832243.0658861464</v>
      </c>
      <c r="P60" s="1036">
        <f>(TariffRandValues2324Reworked!P60*'MSCOA - Tariff Structure'!$R$2)+TariffRandValues2324Reworked!P60</f>
        <v>6034228.037338472</v>
      </c>
      <c r="Q60" s="1036">
        <f>(TariffRandValues2324Reworked!Q60*'MSCOA - Tariff Structure'!$R$2)+TariffRandValues2324Reworked!Q60</f>
        <v>5100591.6968659991</v>
      </c>
      <c r="R60" s="1036">
        <f>(TariffRandValues2324Reworked!R60*'MSCOA - Tariff Structure'!$R$2)+TariffRandValues2324Reworked!R60</f>
        <v>5317713.1614770349</v>
      </c>
      <c r="S60" s="1036">
        <f>(TariffRandValues2324Reworked!S60*'MSCOA - Tariff Structure'!$R$2)+TariffRandValues2324Reworked!S60</f>
        <v>5604160.9472934874</v>
      </c>
      <c r="T60" s="1036">
        <f>(TariffRandValues2324Reworked!T60*'MSCOA - Tariff Structure'!$R$2)+TariffRandValues2324Reworked!T60</f>
        <v>5651011.6456006439</v>
      </c>
      <c r="U60" s="1036">
        <f>(TariffRandValues2324Reworked!U60*'MSCOA - Tariff Structure'!$R$2)+TariffRandValues2324Reworked!U60</f>
        <v>8542169.5072548352</v>
      </c>
      <c r="V60" s="1036">
        <f t="shared" si="7"/>
        <v>66812746.457931131</v>
      </c>
      <c r="W60" s="1036">
        <f t="shared" si="8"/>
        <v>30655907.132922914</v>
      </c>
    </row>
    <row r="61" spans="1:24" ht="15" thickBot="1" x14ac:dyDescent="0.4">
      <c r="A61" s="247" t="s">
        <v>270</v>
      </c>
      <c r="I61" s="1060">
        <f>SUM(I62:I66)</f>
        <v>82225243.727494344</v>
      </c>
      <c r="J61" s="1031"/>
      <c r="K61" s="1031"/>
      <c r="L61" s="1031"/>
      <c r="M61" s="1031"/>
      <c r="N61" s="1031"/>
      <c r="O61" s="1031"/>
      <c r="P61" s="1031"/>
      <c r="Q61" s="1031"/>
      <c r="R61" s="1031"/>
      <c r="S61" s="1031"/>
      <c r="T61" s="1031"/>
      <c r="U61" s="1031"/>
      <c r="V61" s="611">
        <f>+V60+V59+V58+V57+V56+V55</f>
        <v>341768534.7839033</v>
      </c>
      <c r="W61" s="611">
        <f t="shared" ref="W61" si="9">+W60+W59+W58+W57+W56+W55</f>
        <v>149159115.22034329</v>
      </c>
      <c r="X61" s="245">
        <f>+V61+W61</f>
        <v>490927650.00424659</v>
      </c>
    </row>
    <row r="62" spans="1:24" ht="15" thickTop="1" x14ac:dyDescent="0.35">
      <c r="A62" s="1040" t="s">
        <v>520</v>
      </c>
      <c r="B62" s="1040" t="s">
        <v>520</v>
      </c>
      <c r="C62" s="1040" t="s">
        <v>519</v>
      </c>
      <c r="D62" s="1040" t="s">
        <v>519</v>
      </c>
      <c r="E62" s="1040" t="s">
        <v>519</v>
      </c>
      <c r="F62" s="1040" t="s">
        <v>519</v>
      </c>
      <c r="G62" s="1040"/>
      <c r="H62" s="1040"/>
      <c r="I62" s="1041">
        <f>SUM(J62:U62)</f>
        <v>2278814.1866509626</v>
      </c>
      <c r="J62" s="1041">
        <f>(TariffRandValues2324Reworked!J62*'MSCOA - Tariff Structure'!$R$2)+TariffRandValues2324Reworked!J62</f>
        <v>189901.18222091359</v>
      </c>
      <c r="K62" s="1041">
        <f>(TariffRandValues2324Reworked!K62*'MSCOA - Tariff Structure'!$R$2)+TariffRandValues2324Reworked!K62</f>
        <v>189901.18222091359</v>
      </c>
      <c r="L62" s="1041">
        <f>(TariffRandValues2324Reworked!L62*'MSCOA - Tariff Structure'!$R$2)+TariffRandValues2324Reworked!L62</f>
        <v>189901.18222091359</v>
      </c>
      <c r="M62" s="1041">
        <f>(TariffRandValues2324Reworked!M62*'MSCOA - Tariff Structure'!$R$2)+TariffRandValues2324Reworked!M62</f>
        <v>189901.18222091359</v>
      </c>
      <c r="N62" s="1041">
        <f>(TariffRandValues2324Reworked!N62*'MSCOA - Tariff Structure'!$R$2)+TariffRandValues2324Reworked!N62</f>
        <v>189901.18222091359</v>
      </c>
      <c r="O62" s="1041">
        <f>(TariffRandValues2324Reworked!O62*'MSCOA - Tariff Structure'!$R$2)+TariffRandValues2324Reworked!O62</f>
        <v>189901.18222091359</v>
      </c>
      <c r="P62" s="1041">
        <f>(TariffRandValues2324Reworked!P62*'MSCOA - Tariff Structure'!$R$2)+TariffRandValues2324Reworked!P62</f>
        <v>189901.18222091359</v>
      </c>
      <c r="Q62" s="1041">
        <f>(TariffRandValues2324Reworked!Q62*'MSCOA - Tariff Structure'!$R$2)+TariffRandValues2324Reworked!Q62</f>
        <v>189901.18222091359</v>
      </c>
      <c r="R62" s="1041">
        <f>(TariffRandValues2324Reworked!R62*'MSCOA - Tariff Structure'!$R$2)+TariffRandValues2324Reworked!R62</f>
        <v>189901.18222091359</v>
      </c>
      <c r="S62" s="1041">
        <f>(TariffRandValues2324Reworked!S62*'MSCOA - Tariff Structure'!$R$2)+TariffRandValues2324Reworked!S62</f>
        <v>189901.18222091359</v>
      </c>
      <c r="T62" s="1041">
        <f>(TariffRandValues2324Reworked!T62*'MSCOA - Tariff Structure'!$R$2)+TariffRandValues2324Reworked!T62</f>
        <v>189901.18222091359</v>
      </c>
      <c r="U62" s="1041">
        <f>(TariffRandValues2324Reworked!U62*'MSCOA - Tariff Structure'!$R$2)+TariffRandValues2324Reworked!U62</f>
        <v>189901.18222091359</v>
      </c>
      <c r="V62" s="1041">
        <f>SUM(L62:T62)</f>
        <v>1709110.6399882222</v>
      </c>
      <c r="W62" s="1041">
        <f>U62+J62+K62</f>
        <v>569703.54666274076</v>
      </c>
    </row>
    <row r="63" spans="1:24" x14ac:dyDescent="0.35">
      <c r="A63" s="1051" t="s">
        <v>518</v>
      </c>
      <c r="B63" s="1051" t="s">
        <v>518</v>
      </c>
      <c r="C63" s="1051" t="s">
        <v>517</v>
      </c>
      <c r="D63" s="1051" t="s">
        <v>517</v>
      </c>
      <c r="E63" s="1052" t="s">
        <v>517</v>
      </c>
      <c r="F63" s="1052" t="s">
        <v>517</v>
      </c>
      <c r="G63" s="1052"/>
      <c r="H63" s="1052"/>
      <c r="I63" s="1053">
        <f>SUM(J63:U63)</f>
        <v>2943988.2733058748</v>
      </c>
      <c r="J63" s="1053">
        <f>(TariffRandValues2324Reworked!J63*'MSCOA - Tariff Structure'!$R$2)+TariffRandValues2324Reworked!J63</f>
        <v>308312.51528127107</v>
      </c>
      <c r="K63" s="1053">
        <f>(TariffRandValues2324Reworked!K63*'MSCOA - Tariff Structure'!$R$2)+TariffRandValues2324Reworked!K63</f>
        <v>277569.10207658587</v>
      </c>
      <c r="L63" s="1053">
        <f>(TariffRandValues2324Reworked!L63*'MSCOA - Tariff Structure'!$R$2)+TariffRandValues2324Reworked!L63</f>
        <v>242197.64731578666</v>
      </c>
      <c r="M63" s="1053">
        <f>(TariffRandValues2324Reworked!M63*'MSCOA - Tariff Structure'!$R$2)+TariffRandValues2324Reworked!M63</f>
        <v>215052.01198626278</v>
      </c>
      <c r="N63" s="1053">
        <f>(TariffRandValues2324Reworked!N63*'MSCOA - Tariff Structure'!$R$2)+TariffRandValues2324Reworked!N63</f>
        <v>210501.58756686281</v>
      </c>
      <c r="O63" s="1053">
        <f>(TariffRandValues2324Reworked!O63*'MSCOA - Tariff Structure'!$R$2)+TariffRandValues2324Reworked!O63</f>
        <v>176995.8187959707</v>
      </c>
      <c r="P63" s="1053">
        <f>(TariffRandValues2324Reworked!P63*'MSCOA - Tariff Structure'!$R$2)+TariffRandValues2324Reworked!P63</f>
        <v>209934.4883480327</v>
      </c>
      <c r="Q63" s="1053">
        <f>(TariffRandValues2324Reworked!Q63*'MSCOA - Tariff Structure'!$R$2)+TariffRandValues2324Reworked!Q63</f>
        <v>226055.13159767288</v>
      </c>
      <c r="R63" s="1053">
        <f>(TariffRandValues2324Reworked!R63*'MSCOA - Tariff Structure'!$R$2)+TariffRandValues2324Reworked!R63</f>
        <v>222138.69177171076</v>
      </c>
      <c r="S63" s="1053">
        <f>(TariffRandValues2324Reworked!S63*'MSCOA - Tariff Structure'!$R$2)+TariffRandValues2324Reworked!S63</f>
        <v>224546.24826529087</v>
      </c>
      <c r="T63" s="1053">
        <f>(TariffRandValues2324Reworked!T63*'MSCOA - Tariff Structure'!$R$2)+TariffRandValues2324Reworked!T63</f>
        <v>285467.41281021462</v>
      </c>
      <c r="U63" s="1053">
        <f>(TariffRandValues2324Reworked!U63*'MSCOA - Tariff Structure'!$R$2)+TariffRandValues2324Reworked!U63</f>
        <v>345217.61749021278</v>
      </c>
      <c r="V63" s="1054">
        <f>SUM(L63:T63)</f>
        <v>2012889.0384578046</v>
      </c>
      <c r="W63" s="1054">
        <f>U63+J63+K63</f>
        <v>931099.23484806973</v>
      </c>
    </row>
    <row r="64" spans="1:24" x14ac:dyDescent="0.35">
      <c r="A64" s="1038" t="s">
        <v>498</v>
      </c>
      <c r="B64" s="1038" t="s">
        <v>503</v>
      </c>
      <c r="C64" s="1038" t="s">
        <v>497</v>
      </c>
      <c r="D64" s="1038" t="s">
        <v>502</v>
      </c>
      <c r="E64" s="1035" t="s">
        <v>497</v>
      </c>
      <c r="F64" s="1035" t="s">
        <v>502</v>
      </c>
      <c r="G64" s="1035"/>
      <c r="H64" s="1035"/>
      <c r="I64" s="1043">
        <f>SUM(J64:U64)</f>
        <v>20091426.538540244</v>
      </c>
      <c r="J64" s="1036">
        <f>(TariffRandValues2324Reworked!J64*'MSCOA - Tariff Structure'!$R$2)+TariffRandValues2324Reworked!J64</f>
        <v>2758334.5891907597</v>
      </c>
      <c r="K64" s="1036">
        <f>(TariffRandValues2324Reworked!K64*'MSCOA - Tariff Structure'!$R$2)+TariffRandValues2324Reworked!K64</f>
        <v>2556093.2381414194</v>
      </c>
      <c r="L64" s="1036">
        <f>(TariffRandValues2324Reworked!L64*'MSCOA - Tariff Structure'!$R$2)+TariffRandValues2324Reworked!L64</f>
        <v>1476448.3614145063</v>
      </c>
      <c r="M64" s="1036">
        <f>(TariffRandValues2324Reworked!M64*'MSCOA - Tariff Structure'!$R$2)+TariffRandValues2324Reworked!M64</f>
        <v>1306033.8323705881</v>
      </c>
      <c r="N64" s="1036">
        <f>(TariffRandValues2324Reworked!N64*'MSCOA - Tariff Structure'!$R$2)+TariffRandValues2324Reworked!N64</f>
        <v>1271268.710943877</v>
      </c>
      <c r="O64" s="1036">
        <f>(TariffRandValues2324Reworked!O64*'MSCOA - Tariff Structure'!$R$2)+TariffRandValues2324Reworked!O64</f>
        <v>1030851.5106138508</v>
      </c>
      <c r="P64" s="1036">
        <f>(TariffRandValues2324Reworked!P64*'MSCOA - Tariff Structure'!$R$2)+TariffRandValues2324Reworked!P64</f>
        <v>1180265.1889063742</v>
      </c>
      <c r="Q64" s="1036">
        <f>(TariffRandValues2324Reworked!Q64*'MSCOA - Tariff Structure'!$R$2)+TariffRandValues2324Reworked!Q64</f>
        <v>1223520.528867685</v>
      </c>
      <c r="R64" s="1036">
        <f>(TariffRandValues2324Reworked!R64*'MSCOA - Tariff Structure'!$R$2)+TariffRandValues2324Reworked!R64</f>
        <v>1418955.2253326953</v>
      </c>
      <c r="S64" s="1036">
        <f>(TariffRandValues2324Reworked!S64*'MSCOA - Tariff Structure'!$R$2)+TariffRandValues2324Reworked!S64</f>
        <v>1286600.3930777349</v>
      </c>
      <c r="T64" s="1036">
        <f>(TariffRandValues2324Reworked!T64*'MSCOA - Tariff Structure'!$R$2)+TariffRandValues2324Reworked!T64</f>
        <v>1748915.0561553333</v>
      </c>
      <c r="U64" s="1036">
        <f>(TariffRandValues2324Reworked!U64*'MSCOA - Tariff Structure'!$R$2)+TariffRandValues2324Reworked!U64</f>
        <v>2834139.9035254205</v>
      </c>
      <c r="V64" s="1036">
        <f>SUM(L64:T64)</f>
        <v>11942858.807682646</v>
      </c>
      <c r="W64" s="1036">
        <f>U64+J64+K64</f>
        <v>8148567.7308575995</v>
      </c>
    </row>
    <row r="65" spans="1:24" x14ac:dyDescent="0.35">
      <c r="A65" s="1038" t="s">
        <v>496</v>
      </c>
      <c r="B65" s="1038" t="s">
        <v>501</v>
      </c>
      <c r="C65" s="1038" t="s">
        <v>495</v>
      </c>
      <c r="D65" s="1038" t="s">
        <v>500</v>
      </c>
      <c r="E65" s="1035" t="s">
        <v>495</v>
      </c>
      <c r="F65" s="1035" t="s">
        <v>500</v>
      </c>
      <c r="G65" s="1035"/>
      <c r="H65" s="1035"/>
      <c r="I65" s="1043">
        <f>SUM(J65:U65)</f>
        <v>29307663.146887023</v>
      </c>
      <c r="J65" s="1036">
        <f>(TariffRandValues2324Reworked!J65*'MSCOA - Tariff Structure'!$R$2)+TariffRandValues2324Reworked!J65</f>
        <v>4044195.5662320624</v>
      </c>
      <c r="K65" s="1036">
        <f>(TariffRandValues2324Reworked!K65*'MSCOA - Tariff Structure'!$R$2)+TariffRandValues2324Reworked!K65</f>
        <v>369459.53650767583</v>
      </c>
      <c r="L65" s="1036">
        <f>(TariffRandValues2324Reworked!L65*'MSCOA - Tariff Structure'!$R$2)+TariffRandValues2324Reworked!L65</f>
        <v>2431364.6823964543</v>
      </c>
      <c r="M65" s="1036">
        <f>(TariffRandValues2324Reworked!M65*'MSCOA - Tariff Structure'!$R$2)+TariffRandValues2324Reworked!M65</f>
        <v>2224599.8273439649</v>
      </c>
      <c r="N65" s="1036">
        <f>(TariffRandValues2324Reworked!N65*'MSCOA - Tariff Structure'!$R$2)+TariffRandValues2324Reworked!N65</f>
        <v>2199843.3649842362</v>
      </c>
      <c r="O65" s="1036">
        <f>(TariffRandValues2324Reworked!O65*'MSCOA - Tariff Structure'!$R$2)+TariffRandValues2324Reworked!O65</f>
        <v>1861310.4061223539</v>
      </c>
      <c r="P65" s="1036">
        <f>(TariffRandValues2324Reworked!P65*'MSCOA - Tariff Structure'!$R$2)+TariffRandValues2324Reworked!P65</f>
        <v>2161913.6904261848</v>
      </c>
      <c r="Q65" s="1036">
        <f>(TariffRandValues2324Reworked!Q65*'MSCOA - Tariff Structure'!$R$2)+TariffRandValues2324Reworked!Q65</f>
        <v>2185830.8476020889</v>
      </c>
      <c r="R65" s="1036">
        <f>(TariffRandValues2324Reworked!R65*'MSCOA - Tariff Structure'!$R$2)+TariffRandValues2324Reworked!R65</f>
        <v>2495114.18216608</v>
      </c>
      <c r="S65" s="1036">
        <f>(TariffRandValues2324Reworked!S65*'MSCOA - Tariff Structure'!$R$2)+TariffRandValues2324Reworked!S65</f>
        <v>2211935.5636972529</v>
      </c>
      <c r="T65" s="1036">
        <f>(TariffRandValues2324Reworked!T65*'MSCOA - Tariff Structure'!$R$2)+TariffRandValues2324Reworked!T65</f>
        <v>2881290.174323386</v>
      </c>
      <c r="U65" s="1036">
        <f>(TariffRandValues2324Reworked!U65*'MSCOA - Tariff Structure'!$R$2)+TariffRandValues2324Reworked!U65</f>
        <v>4240805.305085279</v>
      </c>
      <c r="V65" s="1036">
        <f>SUM(L65:T65)</f>
        <v>20653202.739062004</v>
      </c>
      <c r="W65" s="1036">
        <f>U65+J65+K65</f>
        <v>8654460.4078250173</v>
      </c>
    </row>
    <row r="66" spans="1:24" x14ac:dyDescent="0.35">
      <c r="A66" s="1038" t="s">
        <v>492</v>
      </c>
      <c r="B66" s="1038" t="s">
        <v>494</v>
      </c>
      <c r="C66" s="1038" t="s">
        <v>499</v>
      </c>
      <c r="D66" s="1038" t="s">
        <v>493</v>
      </c>
      <c r="E66" s="1035" t="s">
        <v>499</v>
      </c>
      <c r="F66" s="1035" t="s">
        <v>493</v>
      </c>
      <c r="G66" s="1035"/>
      <c r="H66" s="1035"/>
      <c r="I66" s="1043">
        <f>SUM(J66:U66)</f>
        <v>27603351.582110241</v>
      </c>
      <c r="J66" s="1036">
        <f>(TariffRandValues2324Reworked!J66*'MSCOA - Tariff Structure'!$R$2)+TariffRandValues2324Reworked!J66</f>
        <v>3409724.1708988044</v>
      </c>
      <c r="K66" s="1036">
        <f>(TariffRandValues2324Reworked!K66*'MSCOA - Tariff Structure'!$R$2)+TariffRandValues2324Reworked!K66</f>
        <v>3513646.7761814948</v>
      </c>
      <c r="L66" s="1036">
        <f>(TariffRandValues2324Reworked!L66*'MSCOA - Tariff Structure'!$R$2)+TariffRandValues2324Reworked!L66</f>
        <v>1853639.5635358929</v>
      </c>
      <c r="M66" s="1036">
        <f>(TariffRandValues2324Reworked!M66*'MSCOA - Tariff Structure'!$R$2)+TariffRandValues2324Reworked!M66</f>
        <v>1873334.6969332532</v>
      </c>
      <c r="N66" s="1036">
        <f>(TariffRandValues2324Reworked!N66*'MSCOA - Tariff Structure'!$R$2)+TariffRandValues2324Reworked!N66</f>
        <v>1701537.5463661458</v>
      </c>
      <c r="O66" s="1036">
        <f>(TariffRandValues2324Reworked!O66*'MSCOA - Tariff Structure'!$R$2)+TariffRandValues2324Reworked!O66</f>
        <v>1729559.5264149727</v>
      </c>
      <c r="P66" s="1036">
        <f>(TariffRandValues2324Reworked!P66*'MSCOA - Tariff Structure'!$R$2)+TariffRandValues2324Reworked!P66</f>
        <v>1908348.9278645471</v>
      </c>
      <c r="Q66" s="1036">
        <f>(TariffRandValues2324Reworked!Q66*'MSCOA - Tariff Structure'!$R$2)+TariffRandValues2324Reworked!Q66</f>
        <v>1726658.7940336869</v>
      </c>
      <c r="R66" s="1036">
        <f>(TariffRandValues2324Reworked!R66*'MSCOA - Tariff Structure'!$R$2)+TariffRandValues2324Reworked!R66</f>
        <v>1910345.7788420396</v>
      </c>
      <c r="S66" s="1036">
        <f>(TariffRandValues2324Reworked!S66*'MSCOA - Tariff Structure'!$R$2)+TariffRandValues2324Reworked!S66</f>
        <v>2033991.3825226943</v>
      </c>
      <c r="T66" s="1036">
        <f>(TariffRandValues2324Reworked!T66*'MSCOA - Tariff Structure'!$R$2)+TariffRandValues2324Reworked!T66</f>
        <v>2364697.8705407321</v>
      </c>
      <c r="U66" s="1036">
        <f>(TariffRandValues2324Reworked!U66*'MSCOA - Tariff Structure'!$R$2)+TariffRandValues2324Reworked!U66</f>
        <v>3577866.5479759751</v>
      </c>
      <c r="V66" s="1036">
        <f>SUM(L66:T66)</f>
        <v>17102114.087053966</v>
      </c>
      <c r="W66" s="1036">
        <f>U66+J66+K66</f>
        <v>10501237.495056275</v>
      </c>
    </row>
    <row r="67" spans="1:24" ht="15" thickBot="1" x14ac:dyDescent="0.4">
      <c r="A67" s="247" t="s">
        <v>271</v>
      </c>
      <c r="I67" s="1060">
        <f>SUM(I68:I72)</f>
        <v>112480502.51252972</v>
      </c>
      <c r="J67" s="1031"/>
      <c r="K67" s="1031"/>
      <c r="L67" s="1031"/>
      <c r="M67" s="1031"/>
      <c r="N67" s="1031"/>
      <c r="O67" s="1031"/>
      <c r="P67" s="1031"/>
      <c r="Q67" s="1031"/>
      <c r="R67" s="1031"/>
      <c r="S67" s="1031"/>
      <c r="T67" s="1031"/>
      <c r="U67" s="1031"/>
      <c r="V67" s="611">
        <f>+V66+V65+V64+V63+V62</f>
        <v>53420175.312244639</v>
      </c>
      <c r="W67" s="611">
        <f>+W66+W65+W64+W63+W62</f>
        <v>28805068.415249705</v>
      </c>
      <c r="X67" s="245">
        <f>+V67+W67</f>
        <v>82225243.727494344</v>
      </c>
    </row>
    <row r="68" spans="1:24" ht="15" thickTop="1" x14ac:dyDescent="0.35">
      <c r="A68" s="1040" t="s">
        <v>342</v>
      </c>
      <c r="B68" s="1040" t="s">
        <v>342</v>
      </c>
      <c r="C68" s="1040" t="s">
        <v>1062</v>
      </c>
      <c r="D68" s="1040" t="s">
        <v>1387</v>
      </c>
      <c r="E68" s="1040" t="s">
        <v>1062</v>
      </c>
      <c r="F68" s="1040" t="s">
        <v>1062</v>
      </c>
      <c r="G68" s="1040"/>
      <c r="H68" s="1040"/>
      <c r="I68" s="1041">
        <f>SUM(J68:U68)</f>
        <v>12737197.162082426</v>
      </c>
      <c r="J68" s="1041">
        <f>(TariffRandValues2324Reworked!J68*'MSCOA - Tariff Structure'!$R$2)+TariffRandValues2324Reworked!J68</f>
        <v>1061433.0968402019</v>
      </c>
      <c r="K68" s="1041">
        <f>(TariffRandValues2324Reworked!K68*'MSCOA - Tariff Structure'!$R$2)+TariffRandValues2324Reworked!K68</f>
        <v>1061433.0968402019</v>
      </c>
      <c r="L68" s="1041">
        <f>(TariffRandValues2324Reworked!L68*'MSCOA - Tariff Structure'!$R$2)+TariffRandValues2324Reworked!L68</f>
        <v>1061433.0968402019</v>
      </c>
      <c r="M68" s="1041">
        <f>(TariffRandValues2324Reworked!M68*'MSCOA - Tariff Structure'!$R$2)+TariffRandValues2324Reworked!M68</f>
        <v>1061433.0968402019</v>
      </c>
      <c r="N68" s="1041">
        <f>(TariffRandValues2324Reworked!N68*'MSCOA - Tariff Structure'!$R$2)+TariffRandValues2324Reworked!N68</f>
        <v>1061433.0968402019</v>
      </c>
      <c r="O68" s="1041">
        <f>(TariffRandValues2324Reworked!O68*'MSCOA - Tariff Structure'!$R$2)+TariffRandValues2324Reworked!O68</f>
        <v>1061433.0968402019</v>
      </c>
      <c r="P68" s="1041">
        <f>(TariffRandValues2324Reworked!P68*'MSCOA - Tariff Structure'!$R$2)+TariffRandValues2324Reworked!P68</f>
        <v>1061433.0968402019</v>
      </c>
      <c r="Q68" s="1041">
        <f>(TariffRandValues2324Reworked!Q68*'MSCOA - Tariff Structure'!$R$2)+TariffRandValues2324Reworked!Q68</f>
        <v>1061433.0968402019</v>
      </c>
      <c r="R68" s="1041">
        <f>(TariffRandValues2324Reworked!R68*'MSCOA - Tariff Structure'!$R$2)+TariffRandValues2324Reworked!R68</f>
        <v>1061433.0968402019</v>
      </c>
      <c r="S68" s="1041">
        <f>(TariffRandValues2324Reworked!S68*'MSCOA - Tariff Structure'!$R$2)+TariffRandValues2324Reworked!S68</f>
        <v>1061433.0968402019</v>
      </c>
      <c r="T68" s="1041">
        <f>(TariffRandValues2324Reworked!T68*'MSCOA - Tariff Structure'!$R$2)+TariffRandValues2324Reworked!T68</f>
        <v>1061433.0968402019</v>
      </c>
      <c r="U68" s="1041">
        <f>(TariffRandValues2324Reworked!U68*'MSCOA - Tariff Structure'!$R$2)+TariffRandValues2324Reworked!U68</f>
        <v>1061433.0968402019</v>
      </c>
      <c r="V68" s="1041">
        <f>SUM(L68:T68)</f>
        <v>9552897.8715618178</v>
      </c>
      <c r="W68" s="1041">
        <f>U68+J68+K68</f>
        <v>3184299.2905206056</v>
      </c>
    </row>
    <row r="69" spans="1:24" x14ac:dyDescent="0.35">
      <c r="A69" s="1051" t="s">
        <v>272</v>
      </c>
      <c r="B69" s="1051" t="s">
        <v>272</v>
      </c>
      <c r="C69" s="1051" t="s">
        <v>1063</v>
      </c>
      <c r="D69" s="1051" t="s">
        <v>1063</v>
      </c>
      <c r="E69" s="1052" t="s">
        <v>1063</v>
      </c>
      <c r="F69" s="1052" t="s">
        <v>1063</v>
      </c>
      <c r="G69" s="1052"/>
      <c r="H69" s="1052"/>
      <c r="I69" s="1053">
        <f>SUM(J69:U69)</f>
        <v>3041316.3572760811</v>
      </c>
      <c r="J69" s="1053">
        <f>(TariffRandValues2324Reworked!J69*'MSCOA - Tariff Structure'!$R$2)+TariffRandValues2324Reworked!J69</f>
        <v>318079.90964677394</v>
      </c>
      <c r="K69" s="1053">
        <f>(TariffRandValues2324Reworked!K69*'MSCOA - Tariff Structure'!$R$2)+TariffRandValues2324Reworked!K69</f>
        <v>298946.0103707104</v>
      </c>
      <c r="L69" s="1053">
        <f>(TariffRandValues2324Reworked!L69*'MSCOA - Tariff Structure'!$R$2)+TariffRandValues2324Reworked!L69</f>
        <v>274097.34029316762</v>
      </c>
      <c r="M69" s="1053">
        <f>(TariffRandValues2324Reworked!M69*'MSCOA - Tariff Structure'!$R$2)+TariffRandValues2324Reworked!M69</f>
        <v>245269.49647237267</v>
      </c>
      <c r="N69" s="1053">
        <f>(TariffRandValues2324Reworked!N69*'MSCOA - Tariff Structure'!$R$2)+TariffRandValues2324Reworked!N69</f>
        <v>234305.60286064597</v>
      </c>
      <c r="O69" s="1053">
        <f>(TariffRandValues2324Reworked!O69*'MSCOA - Tariff Structure'!$R$2)+TariffRandValues2324Reworked!O69</f>
        <v>199339.67188270678</v>
      </c>
      <c r="P69" s="1053">
        <f>(TariffRandValues2324Reworked!P69*'MSCOA - Tariff Structure'!$R$2)+TariffRandValues2324Reworked!P69</f>
        <v>214282.73923768566</v>
      </c>
      <c r="Q69" s="1053">
        <f>(TariffRandValues2324Reworked!Q69*'MSCOA - Tariff Structure'!$R$2)+TariffRandValues2324Reworked!Q69</f>
        <v>207975.3255382753</v>
      </c>
      <c r="R69" s="1053">
        <f>(TariffRandValues2324Reworked!R69*'MSCOA - Tariff Structure'!$R$2)+TariffRandValues2324Reworked!R69</f>
        <v>219489.53041236667</v>
      </c>
      <c r="S69" s="1053">
        <f>(TariffRandValues2324Reworked!S69*'MSCOA - Tariff Structure'!$R$2)+TariffRandValues2324Reworked!S69</f>
        <v>225627.61756951091</v>
      </c>
      <c r="T69" s="1053">
        <f>(TariffRandValues2324Reworked!T69*'MSCOA - Tariff Structure'!$R$2)+TariffRandValues2324Reworked!T69</f>
        <v>287770.45858115109</v>
      </c>
      <c r="U69" s="1053">
        <f>(TariffRandValues2324Reworked!U69*'MSCOA - Tariff Structure'!$R$2)+TariffRandValues2324Reworked!U69</f>
        <v>316132.6544107144</v>
      </c>
      <c r="V69" s="1054">
        <f>SUM(L69:T69)</f>
        <v>2108157.7828478827</v>
      </c>
      <c r="W69" s="1054">
        <f>U69+J69+K69</f>
        <v>933158.57442819874</v>
      </c>
    </row>
    <row r="70" spans="1:24" x14ac:dyDescent="0.35">
      <c r="A70" s="1038" t="s">
        <v>349</v>
      </c>
      <c r="B70" s="1038" t="s">
        <v>345</v>
      </c>
      <c r="C70" s="1038" t="s">
        <v>878</v>
      </c>
      <c r="D70" s="1038" t="s">
        <v>881</v>
      </c>
      <c r="E70" s="1035" t="s">
        <v>878</v>
      </c>
      <c r="F70" s="1035" t="s">
        <v>881</v>
      </c>
      <c r="G70" s="1035"/>
      <c r="H70" s="1035"/>
      <c r="I70" s="1043">
        <f>SUM(J70:U70)</f>
        <v>23407195.643512446</v>
      </c>
      <c r="J70" s="1036">
        <f>(TariffRandValues2324Reworked!J70*'MSCOA - Tariff Structure'!$R$2)+TariffRandValues2324Reworked!J70</f>
        <v>3250410.3518141126</v>
      </c>
      <c r="K70" s="1036">
        <f>(TariffRandValues2324Reworked!K70*'MSCOA - Tariff Structure'!$R$2)+TariffRandValues2324Reworked!K70</f>
        <v>3148413.1339596501</v>
      </c>
      <c r="L70" s="1036">
        <f>(TariffRandValues2324Reworked!L70*'MSCOA - Tariff Structure'!$R$2)+TariffRandValues2324Reworked!L70</f>
        <v>1876342.2856050136</v>
      </c>
      <c r="M70" s="1036">
        <f>(TariffRandValues2324Reworked!M70*'MSCOA - Tariff Structure'!$R$2)+TariffRandValues2324Reworked!M70</f>
        <v>1643967.6639270552</v>
      </c>
      <c r="N70" s="1036">
        <f>(TariffRandValues2324Reworked!N70*'MSCOA - Tariff Structure'!$R$2)+TariffRandValues2324Reworked!N70</f>
        <v>1568384.1520580424</v>
      </c>
      <c r="O70" s="1036">
        <f>(TariffRandValues2324Reworked!O70*'MSCOA - Tariff Structure'!$R$2)+TariffRandValues2324Reworked!O70</f>
        <v>1208474.1804503396</v>
      </c>
      <c r="P70" s="1036">
        <f>(TariffRandValues2324Reworked!P70*'MSCOA - Tariff Structure'!$R$2)+TariffRandValues2324Reworked!P70</f>
        <v>1286291.5582821015</v>
      </c>
      <c r="Q70" s="1036">
        <f>(TariffRandValues2324Reworked!Q70*'MSCOA - Tariff Structure'!$R$2)+TariffRandValues2324Reworked!Q70</f>
        <v>1189462.6670685443</v>
      </c>
      <c r="R70" s="1036">
        <f>(TariffRandValues2324Reworked!R70*'MSCOA - Tariff Structure'!$R$2)+TariffRandValues2324Reworked!R70</f>
        <v>1496874.1604740429</v>
      </c>
      <c r="S70" s="1036">
        <f>(TariffRandValues2324Reworked!S70*'MSCOA - Tariff Structure'!$R$2)+TariffRandValues2324Reworked!S70</f>
        <v>1382773.5432520318</v>
      </c>
      <c r="T70" s="1036">
        <f>(TariffRandValues2324Reworked!T70*'MSCOA - Tariff Structure'!$R$2)+TariffRandValues2324Reworked!T70</f>
        <v>2014342.640550836</v>
      </c>
      <c r="U70" s="1036">
        <f>(TariffRandValues2324Reworked!U70*'MSCOA - Tariff Structure'!$R$2)+TariffRandValues2324Reworked!U70</f>
        <v>3341459.3060706756</v>
      </c>
      <c r="V70" s="1036">
        <f>SUM(L70:T70)</f>
        <v>13666912.851668008</v>
      </c>
      <c r="W70" s="1036">
        <f>U70+J70+K70</f>
        <v>9740282.7918444388</v>
      </c>
    </row>
    <row r="71" spans="1:24" x14ac:dyDescent="0.35">
      <c r="A71" s="1038" t="s">
        <v>353</v>
      </c>
      <c r="B71" s="1038" t="s">
        <v>273</v>
      </c>
      <c r="C71" s="1038" t="s">
        <v>877</v>
      </c>
      <c r="D71" s="1038" t="s">
        <v>880</v>
      </c>
      <c r="E71" s="1035" t="s">
        <v>877</v>
      </c>
      <c r="F71" s="1035" t="s">
        <v>880</v>
      </c>
      <c r="G71" s="1035"/>
      <c r="H71" s="1035"/>
      <c r="I71" s="1043">
        <f>SUM(J71:U71)</f>
        <v>41221091.667491637</v>
      </c>
      <c r="J71" s="1036">
        <f>(TariffRandValues2324Reworked!J71*'MSCOA - Tariff Structure'!$R$2)+TariffRandValues2324Reworked!J71</f>
        <v>5710257.3680492174</v>
      </c>
      <c r="K71" s="1036">
        <f>(TariffRandValues2324Reworked!K71*'MSCOA - Tariff Structure'!$R$2)+TariffRandValues2324Reworked!K71</f>
        <v>5471905.7958554318</v>
      </c>
      <c r="L71" s="1036">
        <f>(TariffRandValues2324Reworked!L71*'MSCOA - Tariff Structure'!$R$2)+TariffRandValues2324Reworked!L71</f>
        <v>3204363.1714270269</v>
      </c>
      <c r="M71" s="1036">
        <f>(TariffRandValues2324Reworked!M71*'MSCOA - Tariff Structure'!$R$2)+TariffRandValues2324Reworked!M71</f>
        <v>2926631.9950709087</v>
      </c>
      <c r="N71" s="1036">
        <f>(TariffRandValues2324Reworked!N71*'MSCOA - Tariff Structure'!$R$2)+TariffRandValues2324Reworked!N71</f>
        <v>2797111.7701659743</v>
      </c>
      <c r="O71" s="1036">
        <f>(TariffRandValues2324Reworked!O71*'MSCOA - Tariff Structure'!$R$2)+TariffRandValues2324Reworked!O71</f>
        <v>2198777.2422181838</v>
      </c>
      <c r="P71" s="1036">
        <f>(TariffRandValues2324Reworked!P71*'MSCOA - Tariff Structure'!$R$2)+TariffRandValues2324Reworked!P71</f>
        <v>2369323.6975508281</v>
      </c>
      <c r="Q71" s="1036">
        <f>(TariffRandValues2324Reworked!Q71*'MSCOA - Tariff Structure'!$R$2)+TariffRandValues2324Reworked!Q71</f>
        <v>2131196.8173388825</v>
      </c>
      <c r="R71" s="1036">
        <f>(TariffRandValues2324Reworked!R71*'MSCOA - Tariff Structure'!$R$2)+TariffRandValues2324Reworked!R71</f>
        <v>2661501.2122755302</v>
      </c>
      <c r="S71" s="1036">
        <f>(TariffRandValues2324Reworked!S71*'MSCOA - Tariff Structure'!$R$2)+TariffRandValues2324Reworked!S71</f>
        <v>2413789.1244534776</v>
      </c>
      <c r="T71" s="1036">
        <f>(TariffRandValues2324Reworked!T71*'MSCOA - Tariff Structure'!$R$2)+TariffRandValues2324Reworked!T71</f>
        <v>3463943.2709951056</v>
      </c>
      <c r="U71" s="1036">
        <f>(TariffRandValues2324Reworked!U71*'MSCOA - Tariff Structure'!$R$2)+TariffRandValues2324Reworked!U71</f>
        <v>5872290.2020910699</v>
      </c>
      <c r="V71" s="1036">
        <f>SUM(L71:T71)</f>
        <v>24166638.301495917</v>
      </c>
      <c r="W71" s="1036">
        <f>U71+J71+K71</f>
        <v>17054453.36599572</v>
      </c>
    </row>
    <row r="72" spans="1:24" x14ac:dyDescent="0.35">
      <c r="A72" s="1038" t="s">
        <v>351</v>
      </c>
      <c r="B72" s="1038" t="s">
        <v>274</v>
      </c>
      <c r="C72" s="1038" t="s">
        <v>879</v>
      </c>
      <c r="D72" s="1038" t="s">
        <v>882</v>
      </c>
      <c r="E72" s="1035" t="s">
        <v>879</v>
      </c>
      <c r="F72" s="1035" t="s">
        <v>882</v>
      </c>
      <c r="G72" s="1035"/>
      <c r="H72" s="1035"/>
      <c r="I72" s="1043">
        <f>SUM(J72:U72)</f>
        <v>32073701.682167128</v>
      </c>
      <c r="J72" s="1036">
        <f>(TariffRandValues2324Reworked!J72*'MSCOA - Tariff Structure'!$R$2)+TariffRandValues2324Reworked!J72</f>
        <v>3998791.1916201031</v>
      </c>
      <c r="K72" s="1036">
        <f>(TariffRandValues2324Reworked!K72*'MSCOA - Tariff Structure'!$R$2)+TariffRandValues2324Reworked!K72</f>
        <v>4326825.4619365707</v>
      </c>
      <c r="L72" s="1036">
        <f>(TariffRandValues2324Reworked!L72*'MSCOA - Tariff Structure'!$R$2)+TariffRandValues2324Reworked!L72</f>
        <v>2375648.3265370894</v>
      </c>
      <c r="M72" s="1036">
        <f>(TariffRandValues2324Reworked!M72*'MSCOA - Tariff Structure'!$R$2)+TariffRandValues2324Reworked!M72</f>
        <v>2398416.0076889372</v>
      </c>
      <c r="N72" s="1036">
        <f>(TariffRandValues2324Reworked!N72*'MSCOA - Tariff Structure'!$R$2)+TariffRandValues2324Reworked!N72</f>
        <v>2112741.2330202889</v>
      </c>
      <c r="O72" s="1036">
        <f>(TariffRandValues2324Reworked!O72*'MSCOA - Tariff Structure'!$R$2)+TariffRandValues2324Reworked!O72</f>
        <v>1999465.2578294636</v>
      </c>
      <c r="P72" s="1036">
        <f>(TariffRandValues2324Reworked!P72*'MSCOA - Tariff Structure'!$R$2)+TariffRandValues2324Reworked!P72</f>
        <v>2092859.4660965172</v>
      </c>
      <c r="Q72" s="1036">
        <f>(TariffRandValues2324Reworked!Q72*'MSCOA - Tariff Structure'!$R$2)+TariffRandValues2324Reworked!Q72</f>
        <v>1669462.9635532168</v>
      </c>
      <c r="R72" s="1036">
        <f>(TariffRandValues2324Reworked!R72*'MSCOA - Tariff Structure'!$R$2)+TariffRandValues2324Reworked!R72</f>
        <v>1986781.3728249185</v>
      </c>
      <c r="S72" s="1036">
        <f>(TariffRandValues2324Reworked!S72*'MSCOA - Tariff Structure'!$R$2)+TariffRandValues2324Reworked!S72</f>
        <v>2181339.3220199146</v>
      </c>
      <c r="T72" s="1036">
        <f>(TariffRandValues2324Reworked!T72*'MSCOA - Tariff Structure'!$R$2)+TariffRandValues2324Reworked!T72</f>
        <v>2779150.7685922827</v>
      </c>
      <c r="U72" s="1036">
        <f>(TariffRandValues2324Reworked!U72*'MSCOA - Tariff Structure'!$R$2)+TariffRandValues2324Reworked!U72</f>
        <v>4152220.3104478237</v>
      </c>
      <c r="V72" s="1036">
        <f>SUM(L72:T72)</f>
        <v>19595864.71816263</v>
      </c>
      <c r="W72" s="1036">
        <f>U72+J72+K72</f>
        <v>12477836.964004498</v>
      </c>
    </row>
    <row r="73" spans="1:24" ht="15" thickBot="1" x14ac:dyDescent="0.4">
      <c r="A73" s="247" t="s">
        <v>547</v>
      </c>
      <c r="I73" s="1060">
        <f>SUM(I74:I76)</f>
        <v>9321943.4503666647</v>
      </c>
      <c r="J73" s="1031"/>
      <c r="K73" s="1031"/>
      <c r="L73" s="1031"/>
      <c r="M73" s="1031"/>
      <c r="N73" s="1031"/>
      <c r="O73" s="1031"/>
      <c r="P73" s="1031"/>
      <c r="Q73" s="1031"/>
      <c r="R73" s="1031"/>
      <c r="S73" s="1031"/>
      <c r="T73" s="1031"/>
      <c r="U73" s="1031"/>
      <c r="V73" s="611">
        <f>+V72+V71+V70+V69+V68</f>
        <v>69090471.525736257</v>
      </c>
      <c r="W73" s="611">
        <f>+W72+W71+W70+W69+W68</f>
        <v>43390030.986793466</v>
      </c>
      <c r="X73" s="245">
        <f>+V73+W73</f>
        <v>112480502.51252973</v>
      </c>
    </row>
    <row r="74" spans="1:24" ht="15" thickTop="1" x14ac:dyDescent="0.35">
      <c r="A74" s="1038" t="s">
        <v>489</v>
      </c>
      <c r="B74" s="1038" t="s">
        <v>276</v>
      </c>
      <c r="C74" s="1038" t="s">
        <v>488</v>
      </c>
      <c r="D74" s="1038" t="s">
        <v>822</v>
      </c>
      <c r="E74" s="1035" t="s">
        <v>488</v>
      </c>
      <c r="F74" s="1035" t="s">
        <v>822</v>
      </c>
      <c r="G74" s="1035"/>
      <c r="H74" s="1035"/>
      <c r="I74" s="1043">
        <f>SUM(J74:U74)</f>
        <v>2232026.2210286437</v>
      </c>
      <c r="J74" s="1036">
        <f>(TariffRandValues2324Reworked!J74*'MSCOA - Tariff Structure'!$R$2)+TariffRandValues2324Reworked!J74</f>
        <v>252857.5633140037</v>
      </c>
      <c r="K74" s="1036">
        <f>(TariffRandValues2324Reworked!K74*'MSCOA - Tariff Structure'!$R$2)+TariffRandValues2324Reworked!K74</f>
        <v>218814.4044458766</v>
      </c>
      <c r="L74" s="1036">
        <f>(TariffRandValues2324Reworked!L74*'MSCOA - Tariff Structure'!$R$2)+TariffRandValues2324Reworked!L74</f>
        <v>131289.92539835387</v>
      </c>
      <c r="M74" s="1036">
        <f>(TariffRandValues2324Reworked!M74*'MSCOA - Tariff Structure'!$R$2)+TariffRandValues2324Reworked!M74</f>
        <v>160957.79821076646</v>
      </c>
      <c r="N74" s="1036">
        <f>(TariffRandValues2324Reworked!N74*'MSCOA - Tariff Structure'!$R$2)+TariffRandValues2324Reworked!N74</f>
        <v>160284.65256449717</v>
      </c>
      <c r="O74" s="1036">
        <f>(TariffRandValues2324Reworked!O74*'MSCOA - Tariff Structure'!$R$2)+TariffRandValues2324Reworked!O74</f>
        <v>126153.15742354795</v>
      </c>
      <c r="P74" s="1036">
        <f>(TariffRandValues2324Reworked!P74*'MSCOA - Tariff Structure'!$R$2)+TariffRandValues2324Reworked!P74</f>
        <v>180211.26913161634</v>
      </c>
      <c r="Q74" s="1036">
        <f>(TariffRandValues2324Reworked!Q74*'MSCOA - Tariff Structure'!$R$2)+TariffRandValues2324Reworked!Q74</f>
        <v>186131.93994369119</v>
      </c>
      <c r="R74" s="1036">
        <f>(TariffRandValues2324Reworked!R74*'MSCOA - Tariff Structure'!$R$2)+TariffRandValues2324Reworked!R74</f>
        <v>178510.4831403768</v>
      </c>
      <c r="S74" s="1036">
        <f>(TariffRandValues2324Reworked!S74*'MSCOA - Tariff Structure'!$R$2)+TariffRandValues2324Reworked!S74</f>
        <v>163724.5773606881</v>
      </c>
      <c r="T74" s="1036">
        <f>(TariffRandValues2324Reworked!T74*'MSCOA - Tariff Structure'!$R$2)+TariffRandValues2324Reworked!T74</f>
        <v>169293.62097415258</v>
      </c>
      <c r="U74" s="1036">
        <f>(TariffRandValues2324Reworked!U74*'MSCOA - Tariff Structure'!$R$2)+TariffRandValues2324Reworked!U74</f>
        <v>303796.82912107295</v>
      </c>
      <c r="V74" s="1036">
        <f>SUM(L74:T74)</f>
        <v>1456557.4241476904</v>
      </c>
      <c r="W74" s="1036">
        <f>U74+J74+K74</f>
        <v>775468.79688095325</v>
      </c>
    </row>
    <row r="75" spans="1:24" x14ac:dyDescent="0.35">
      <c r="A75" s="1038" t="s">
        <v>487</v>
      </c>
      <c r="B75" s="1038" t="s">
        <v>277</v>
      </c>
      <c r="C75" s="1038" t="s">
        <v>486</v>
      </c>
      <c r="D75" s="1038" t="s">
        <v>821</v>
      </c>
      <c r="E75" s="1035" t="s">
        <v>486</v>
      </c>
      <c r="F75" s="1035" t="s">
        <v>821</v>
      </c>
      <c r="G75" s="1035"/>
      <c r="H75" s="1035"/>
      <c r="I75" s="1043">
        <f>SUM(J75:U75)</f>
        <v>3389718.6262708898</v>
      </c>
      <c r="J75" s="1036">
        <f>(TariffRandValues2324Reworked!J75*'MSCOA - Tariff Structure'!$R$2)+TariffRandValues2324Reworked!J75</f>
        <v>331461.88154624746</v>
      </c>
      <c r="K75" s="1036">
        <f>(TariffRandValues2324Reworked!K75*'MSCOA - Tariff Structure'!$R$2)+TariffRandValues2324Reworked!K75</f>
        <v>300425.85006392933</v>
      </c>
      <c r="L75" s="1036">
        <f>(TariffRandValues2324Reworked!L75*'MSCOA - Tariff Structure'!$R$2)+TariffRandValues2324Reworked!L75</f>
        <v>209413.77824391096</v>
      </c>
      <c r="M75" s="1036">
        <f>(TariffRandValues2324Reworked!M75*'MSCOA - Tariff Structure'!$R$2)+TariffRandValues2324Reworked!M75</f>
        <v>257817.40523464378</v>
      </c>
      <c r="N75" s="1036">
        <f>(TariffRandValues2324Reworked!N75*'MSCOA - Tariff Structure'!$R$2)+TariffRandValues2324Reworked!N75</f>
        <v>248826.49244360553</v>
      </c>
      <c r="O75" s="1036">
        <f>(TariffRandValues2324Reworked!O75*'MSCOA - Tariff Structure'!$R$2)+TariffRandValues2324Reworked!O75</f>
        <v>205325.22741190132</v>
      </c>
      <c r="P75" s="1036">
        <f>(TariffRandValues2324Reworked!P75*'MSCOA - Tariff Structure'!$R$2)+TariffRandValues2324Reworked!P75</f>
        <v>291361.83847468917</v>
      </c>
      <c r="Q75" s="1036">
        <f>(TariffRandValues2324Reworked!Q75*'MSCOA - Tariff Structure'!$R$2)+TariffRandValues2324Reworked!Q75</f>
        <v>298661.65627754864</v>
      </c>
      <c r="R75" s="1036">
        <f>(TariffRandValues2324Reworked!R75*'MSCOA - Tariff Structure'!$R$2)+TariffRandValues2324Reworked!R75</f>
        <v>296178.28555429162</v>
      </c>
      <c r="S75" s="1036">
        <f>(TariffRandValues2324Reworked!S75*'MSCOA - Tariff Structure'!$R$2)+TariffRandValues2324Reworked!S75</f>
        <v>272517.23708497075</v>
      </c>
      <c r="T75" s="1036">
        <f>(TariffRandValues2324Reworked!T75*'MSCOA - Tariff Structure'!$R$2)+TariffRandValues2324Reworked!T75</f>
        <v>268425.96599292656</v>
      </c>
      <c r="U75" s="1036">
        <f>(TariffRandValues2324Reworked!U75*'MSCOA - Tariff Structure'!$R$2)+TariffRandValues2324Reworked!U75</f>
        <v>409303.00794222439</v>
      </c>
      <c r="V75" s="1036">
        <f>SUM(L75:T75)</f>
        <v>2348527.8867184883</v>
      </c>
      <c r="W75" s="1036">
        <f>U75+J75+K75</f>
        <v>1041190.7395524012</v>
      </c>
    </row>
    <row r="76" spans="1:24" x14ac:dyDescent="0.35">
      <c r="A76" s="1038" t="s">
        <v>480</v>
      </c>
      <c r="B76" s="1038" t="s">
        <v>278</v>
      </c>
      <c r="C76" s="1038" t="s">
        <v>482</v>
      </c>
      <c r="D76" s="1038" t="s">
        <v>823</v>
      </c>
      <c r="E76" s="1035" t="s">
        <v>482</v>
      </c>
      <c r="F76" s="1035" t="s">
        <v>823</v>
      </c>
      <c r="G76" s="1035"/>
      <c r="H76" s="1035"/>
      <c r="I76" s="1043">
        <f>SUM(J76:U76)</f>
        <v>3700198.6030671322</v>
      </c>
      <c r="J76" s="1036">
        <f>(TariffRandValues2324Reworked!J76*'MSCOA - Tariff Structure'!$R$2)+TariffRandValues2324Reworked!J76</f>
        <v>362194.79651018046</v>
      </c>
      <c r="K76" s="1036">
        <f>(TariffRandValues2324Reworked!K76*'MSCOA - Tariff Structure'!$R$2)+TariffRandValues2324Reworked!K76</f>
        <v>410685.17740325874</v>
      </c>
      <c r="L76" s="1036">
        <f>(TariffRandValues2324Reworked!L76*'MSCOA - Tariff Structure'!$R$2)+TariffRandValues2324Reworked!L76</f>
        <v>227612.10908083152</v>
      </c>
      <c r="M76" s="1036">
        <f>(TariffRandValues2324Reworked!M76*'MSCOA - Tariff Structure'!$R$2)+TariffRandValues2324Reworked!M76</f>
        <v>252378.24948770495</v>
      </c>
      <c r="N76" s="1036">
        <f>(TariffRandValues2324Reworked!N76*'MSCOA - Tariff Structure'!$R$2)+TariffRandValues2324Reworked!N76</f>
        <v>249035.73533831246</v>
      </c>
      <c r="O76" s="1036">
        <f>(TariffRandValues2324Reworked!O76*'MSCOA - Tariff Structure'!$R$2)+TariffRandValues2324Reworked!O76</f>
        <v>285728.89415954624</v>
      </c>
      <c r="P76" s="1036">
        <f>(TariffRandValues2324Reworked!P76*'MSCOA - Tariff Structure'!$R$2)+TariffRandValues2324Reworked!P76</f>
        <v>290278.218227303</v>
      </c>
      <c r="Q76" s="1036">
        <f>(TariffRandValues2324Reworked!Q76*'MSCOA - Tariff Structure'!$R$2)+TariffRandValues2324Reworked!Q76</f>
        <v>285822.69067647005</v>
      </c>
      <c r="R76" s="1036">
        <f>(TariffRandValues2324Reworked!R76*'MSCOA - Tariff Structure'!$R$2)+TariffRandValues2324Reworked!R76</f>
        <v>324101.70542273164</v>
      </c>
      <c r="S76" s="1036">
        <f>(TariffRandValues2324Reworked!S76*'MSCOA - Tariff Structure'!$R$2)+TariffRandValues2324Reworked!S76</f>
        <v>294482.27075436665</v>
      </c>
      <c r="T76" s="1036">
        <f>(TariffRandValues2324Reworked!T76*'MSCOA - Tariff Structure'!$R$2)+TariffRandValues2324Reworked!T76</f>
        <v>263139.56633371074</v>
      </c>
      <c r="U76" s="1036">
        <f>(TariffRandValues2324Reworked!U76*'MSCOA - Tariff Structure'!$R$2)+TariffRandValues2324Reworked!U76</f>
        <v>454739.18967271585</v>
      </c>
      <c r="V76" s="1036">
        <f>SUM(L76:T76)</f>
        <v>2472579.4394809771</v>
      </c>
      <c r="W76" s="1036">
        <f>U76+J76+K76</f>
        <v>1227619.163586155</v>
      </c>
    </row>
    <row r="77" spans="1:24" ht="15" thickBot="1" x14ac:dyDescent="0.4">
      <c r="A77" s="247" t="s">
        <v>1478</v>
      </c>
      <c r="I77" s="1060">
        <f>SUM(I78:I80)</f>
        <v>2461249.0733136022</v>
      </c>
      <c r="J77" s="1031"/>
      <c r="K77" s="1031"/>
      <c r="L77" s="1031"/>
      <c r="M77" s="1031"/>
      <c r="N77" s="1031"/>
      <c r="O77" s="1031"/>
      <c r="P77" s="1031"/>
      <c r="Q77" s="1031"/>
      <c r="R77" s="1031"/>
      <c r="S77" s="1031"/>
      <c r="T77" s="1031"/>
      <c r="U77" s="1031"/>
      <c r="V77" s="611">
        <f>+V76+V75+V74</f>
        <v>6277664.7503471561</v>
      </c>
      <c r="W77" s="611">
        <f>+W76+W75+W74</f>
        <v>3044278.7000195095</v>
      </c>
      <c r="X77" s="245">
        <f>+W77+V77</f>
        <v>9321943.4503666647</v>
      </c>
    </row>
    <row r="78" spans="1:24" ht="15" thickTop="1" x14ac:dyDescent="0.35">
      <c r="A78" s="1038" t="s">
        <v>507</v>
      </c>
      <c r="B78" s="1038" t="s">
        <v>443</v>
      </c>
      <c r="C78" s="1038" t="s">
        <v>506</v>
      </c>
      <c r="D78" s="1038" t="s">
        <v>1053</v>
      </c>
      <c r="E78" s="1035" t="s">
        <v>506</v>
      </c>
      <c r="F78" s="1035" t="s">
        <v>1053</v>
      </c>
      <c r="G78" s="1035"/>
      <c r="H78" s="1035"/>
      <c r="I78" s="1043">
        <f>SUM(J78:U78)</f>
        <v>675107.65657139989</v>
      </c>
      <c r="J78" s="1036">
        <f>(TariffRandValues2324Reworked!J78*'MSCOA - Tariff Structure'!$R$2)+TariffRandValues2324Reworked!J78</f>
        <v>75214.692454973527</v>
      </c>
      <c r="K78" s="1036">
        <f>(TariffRandValues2324Reworked!K78*'MSCOA - Tariff Structure'!$R$2)+TariffRandValues2324Reworked!K78</f>
        <v>67551.310405244207</v>
      </c>
      <c r="L78" s="1036">
        <f>(TariffRandValues2324Reworked!L78*'MSCOA - Tariff Structure'!$R$2)+TariffRandValues2324Reworked!L78</f>
        <v>31403.980637014844</v>
      </c>
      <c r="M78" s="1036">
        <f>(TariffRandValues2324Reworked!M78*'MSCOA - Tariff Structure'!$R$2)+TariffRandValues2324Reworked!M78</f>
        <v>39634.748320425781</v>
      </c>
      <c r="N78" s="1036">
        <f>(TariffRandValues2324Reworked!N78*'MSCOA - Tariff Structure'!$R$2)+TariffRandValues2324Reworked!N78</f>
        <v>35910.081745390664</v>
      </c>
      <c r="O78" s="1036">
        <f>(TariffRandValues2324Reworked!O78*'MSCOA - Tariff Structure'!$R$2)+TariffRandValues2324Reworked!O78</f>
        <v>35287.617086791033</v>
      </c>
      <c r="P78" s="1036">
        <f>(TariffRandValues2324Reworked!P78*'MSCOA - Tariff Structure'!$R$2)+TariffRandValues2324Reworked!P78</f>
        <v>51374.82217756773</v>
      </c>
      <c r="Q78" s="1036">
        <f>(TariffRandValues2324Reworked!Q78*'MSCOA - Tariff Structure'!$R$2)+TariffRandValues2324Reworked!Q78</f>
        <v>51176.772543321058</v>
      </c>
      <c r="R78" s="1036">
        <f>(TariffRandValues2324Reworked!R78*'MSCOA - Tariff Structure'!$R$2)+TariffRandValues2324Reworked!R78</f>
        <v>48349.815839518371</v>
      </c>
      <c r="S78" s="1036">
        <f>(TariffRandValues2324Reworked!S78*'MSCOA - Tariff Structure'!$R$2)+TariffRandValues2324Reworked!S78</f>
        <v>46231.636644446313</v>
      </c>
      <c r="T78" s="1036">
        <f>(TariffRandValues2324Reworked!T78*'MSCOA - Tariff Structure'!$R$2)+TariffRandValues2324Reworked!T78</f>
        <v>61209.024762295863</v>
      </c>
      <c r="U78" s="1036">
        <f>(TariffRandValues2324Reworked!U78*'MSCOA - Tariff Structure'!$R$2)+TariffRandValues2324Reworked!U78</f>
        <v>131763.15395441046</v>
      </c>
      <c r="V78" s="1036">
        <f>SUM(L78:T78)</f>
        <v>400578.49975677166</v>
      </c>
      <c r="W78" s="1036">
        <f>U78+J78+K78</f>
        <v>274529.15681462816</v>
      </c>
    </row>
    <row r="79" spans="1:24" x14ac:dyDescent="0.35">
      <c r="A79" s="1038" t="s">
        <v>505</v>
      </c>
      <c r="B79" s="1038" t="s">
        <v>445</v>
      </c>
      <c r="C79" s="1038" t="s">
        <v>504</v>
      </c>
      <c r="D79" s="1038" t="s">
        <v>1052</v>
      </c>
      <c r="E79" s="1035" t="s">
        <v>504</v>
      </c>
      <c r="F79" s="1035" t="s">
        <v>1052</v>
      </c>
      <c r="G79" s="1035"/>
      <c r="H79" s="1035"/>
      <c r="I79" s="1043">
        <f>SUM(J79:U79)</f>
        <v>975114.03477199061</v>
      </c>
      <c r="J79" s="1036">
        <f>(TariffRandValues2324Reworked!J79*'MSCOA - Tariff Structure'!$R$2)+TariffRandValues2324Reworked!J79</f>
        <v>103059.77649368256</v>
      </c>
      <c r="K79" s="1036">
        <f>(TariffRandValues2324Reworked!K79*'MSCOA - Tariff Structure'!$R$2)+TariffRandValues2324Reworked!K79</f>
        <v>97763.938560459181</v>
      </c>
      <c r="L79" s="1036">
        <f>(TariffRandValues2324Reworked!L79*'MSCOA - Tariff Structure'!$R$2)+TariffRandValues2324Reworked!L79</f>
        <v>47400.520219922313</v>
      </c>
      <c r="M79" s="1036">
        <f>(TariffRandValues2324Reworked!M79*'MSCOA - Tariff Structure'!$R$2)+TariffRandValues2324Reworked!M79</f>
        <v>61015.768068262041</v>
      </c>
      <c r="N79" s="1036">
        <f>(TariffRandValues2324Reworked!N79*'MSCOA - Tariff Structure'!$R$2)+TariffRandValues2324Reworked!N79</f>
        <v>56405.552491063252</v>
      </c>
      <c r="O79" s="1036">
        <f>(TariffRandValues2324Reworked!O79*'MSCOA - Tariff Structure'!$R$2)+TariffRandValues2324Reworked!O79</f>
        <v>55006.399176259009</v>
      </c>
      <c r="P79" s="1036">
        <f>(TariffRandValues2324Reworked!P79*'MSCOA - Tariff Structure'!$R$2)+TariffRandValues2324Reworked!P79</f>
        <v>83152.977135066903</v>
      </c>
      <c r="Q79" s="1036">
        <f>(TariffRandValues2324Reworked!Q79*'MSCOA - Tariff Structure'!$R$2)+TariffRandValues2324Reworked!Q79</f>
        <v>82790.744624258732</v>
      </c>
      <c r="R79" s="1036">
        <f>(TariffRandValues2324Reworked!R79*'MSCOA - Tariff Structure'!$R$2)+TariffRandValues2324Reworked!R79</f>
        <v>81150.351766765452</v>
      </c>
      <c r="S79" s="1036">
        <f>(TariffRandValues2324Reworked!S79*'MSCOA - Tariff Structure'!$R$2)+TariffRandValues2324Reworked!S79</f>
        <v>69531.037482491709</v>
      </c>
      <c r="T79" s="1036">
        <f>(TariffRandValues2324Reworked!T79*'MSCOA - Tariff Structure'!$R$2)+TariffRandValues2324Reworked!T79</f>
        <v>82412.039979947789</v>
      </c>
      <c r="U79" s="1036">
        <f>(TariffRandValues2324Reworked!U79*'MSCOA - Tariff Structure'!$R$2)+TariffRandValues2324Reworked!U79</f>
        <v>155424.92877381164</v>
      </c>
      <c r="V79" s="1036">
        <f>SUM(L79:T79)</f>
        <v>618865.39094403712</v>
      </c>
      <c r="W79" s="1036">
        <f>U79+J79+K79</f>
        <v>356248.64382795338</v>
      </c>
    </row>
    <row r="80" spans="1:24" x14ac:dyDescent="0.35">
      <c r="A80" s="1038" t="s">
        <v>509</v>
      </c>
      <c r="B80" s="1038" t="s">
        <v>441</v>
      </c>
      <c r="C80" s="1038" t="s">
        <v>508</v>
      </c>
      <c r="D80" s="1038" t="s">
        <v>1054</v>
      </c>
      <c r="E80" s="1035" t="s">
        <v>508</v>
      </c>
      <c r="F80" s="1035" t="s">
        <v>1054</v>
      </c>
      <c r="G80" s="1035"/>
      <c r="H80" s="1035"/>
      <c r="I80" s="1043">
        <f>SUM(J80:U80)</f>
        <v>811027.38197021186</v>
      </c>
      <c r="J80" s="1036">
        <f>(TariffRandValues2324Reworked!J80*'MSCOA - Tariff Structure'!$R$2)+TariffRandValues2324Reworked!J80</f>
        <v>103413.52720606029</v>
      </c>
      <c r="K80" s="1036">
        <f>(TariffRandValues2324Reworked!K80*'MSCOA - Tariff Structure'!$R$2)+TariffRandValues2324Reworked!K80</f>
        <v>108296.07841703697</v>
      </c>
      <c r="L80" s="1036">
        <f>(TariffRandValues2324Reworked!L80*'MSCOA - Tariff Structure'!$R$2)+TariffRandValues2324Reworked!L80</f>
        <v>42736.920126460995</v>
      </c>
      <c r="M80" s="1036">
        <f>(TariffRandValues2324Reworked!M80*'MSCOA - Tariff Structure'!$R$2)+TariffRandValues2324Reworked!M80</f>
        <v>49190.308639728406</v>
      </c>
      <c r="N80" s="1036">
        <f>(TariffRandValues2324Reworked!N80*'MSCOA - Tariff Structure'!$R$2)+TariffRandValues2324Reworked!N80</f>
        <v>47946.467839554447</v>
      </c>
      <c r="O80" s="1036">
        <f>(TariffRandValues2324Reworked!O80*'MSCOA - Tariff Structure'!$R$2)+TariffRandValues2324Reworked!O80</f>
        <v>56278.64917120093</v>
      </c>
      <c r="P80" s="1036">
        <f>(TariffRandValues2324Reworked!P80*'MSCOA - Tariff Structure'!$R$2)+TariffRandValues2324Reworked!P80</f>
        <v>62701.630575525975</v>
      </c>
      <c r="Q80" s="1036">
        <f>(TariffRandValues2324Reworked!Q80*'MSCOA - Tariff Structure'!$R$2)+TariffRandValues2324Reworked!Q80</f>
        <v>53476.444037730376</v>
      </c>
      <c r="R80" s="1036">
        <f>(TariffRandValues2324Reworked!R80*'MSCOA - Tariff Structure'!$R$2)+TariffRandValues2324Reworked!R80</f>
        <v>59131.21607885728</v>
      </c>
      <c r="S80" s="1036">
        <f>(TariffRandValues2324Reworked!S80*'MSCOA - Tariff Structure'!$R$2)+TariffRandValues2324Reworked!S80</f>
        <v>57869.004317030674</v>
      </c>
      <c r="T80" s="1036">
        <f>(TariffRandValues2324Reworked!T80*'MSCOA - Tariff Structure'!$R$2)+TariffRandValues2324Reworked!T80</f>
        <v>55210.599469600078</v>
      </c>
      <c r="U80" s="1036">
        <f>(TariffRandValues2324Reworked!U80*'MSCOA - Tariff Structure'!$R$2)+TariffRandValues2324Reworked!U80</f>
        <v>114776.53609142528</v>
      </c>
      <c r="V80" s="1036">
        <f>SUM(L80:T80)</f>
        <v>484541.24025568919</v>
      </c>
      <c r="W80" s="1036">
        <f>U80+J80+K80</f>
        <v>326486.14171452256</v>
      </c>
    </row>
    <row r="81" spans="1:24" ht="15" thickBot="1" x14ac:dyDescent="0.4">
      <c r="A81" s="247" t="s">
        <v>1479</v>
      </c>
      <c r="B81" s="248"/>
      <c r="C81" s="248"/>
      <c r="D81" s="248"/>
      <c r="I81" s="1060">
        <f>I82</f>
        <v>773616.04075828323</v>
      </c>
      <c r="J81" s="1034"/>
      <c r="K81" s="1034"/>
      <c r="L81" s="1034"/>
      <c r="M81" s="637"/>
      <c r="N81" s="637"/>
      <c r="O81" s="637"/>
      <c r="P81" s="1034"/>
      <c r="Q81" s="1034"/>
      <c r="R81" s="1034"/>
      <c r="S81" s="1034"/>
      <c r="T81" s="1034"/>
      <c r="U81" s="1034"/>
      <c r="V81" s="611">
        <f>+V80+V79+V78</f>
        <v>1503985.130956498</v>
      </c>
      <c r="W81" s="611">
        <f>+W80+W79+W78</f>
        <v>957263.94235710416</v>
      </c>
      <c r="X81" s="245">
        <f>+W81+V81</f>
        <v>2461249.0733136022</v>
      </c>
    </row>
    <row r="82" spans="1:24" ht="15" thickTop="1" x14ac:dyDescent="0.35">
      <c r="A82" s="1039" t="s">
        <v>1488</v>
      </c>
      <c r="B82" s="1039" t="s">
        <v>1488</v>
      </c>
      <c r="C82" s="1039" t="s">
        <v>1481</v>
      </c>
      <c r="D82" s="1039" t="s">
        <v>1481</v>
      </c>
      <c r="E82" s="1035"/>
      <c r="F82" s="1035"/>
      <c r="G82" s="1035"/>
      <c r="H82" s="1035"/>
      <c r="I82" s="1043">
        <f>SUM(J82:U82)</f>
        <v>773616.04075828323</v>
      </c>
      <c r="J82" s="1036">
        <f>(TariffRandValues2324Reworked!J82*'MSCOA - Tariff Structure'!$R$2)+TariffRandValues2324Reworked!J82</f>
        <v>59065.615188963115</v>
      </c>
      <c r="K82" s="1036">
        <f>(TariffRandValues2324Reworked!K82*'MSCOA - Tariff Structure'!$R$2)+TariffRandValues2324Reworked!K82</f>
        <v>96193.496092629153</v>
      </c>
      <c r="L82" s="1036">
        <f>(TariffRandValues2324Reworked!L82*'MSCOA - Tariff Structure'!$R$2)+TariffRandValues2324Reworked!L82</f>
        <v>104458.41895289582</v>
      </c>
      <c r="M82" s="1036">
        <f>(TariffRandValues2324Reworked!M82*'MSCOA - Tariff Structure'!$R$2)+TariffRandValues2324Reworked!M82</f>
        <v>54636.017024502107</v>
      </c>
      <c r="N82" s="1036">
        <f>(TariffRandValues2324Reworked!N82*'MSCOA - Tariff Structure'!$R$2)+TariffRandValues2324Reworked!N82</f>
        <v>49190.311057187537</v>
      </c>
      <c r="O82" s="1036">
        <f>(TariffRandValues2324Reworked!O82*'MSCOA - Tariff Structure'!$R$2)+TariffRandValues2324Reworked!O82</f>
        <v>77109.683801072213</v>
      </c>
      <c r="P82" s="1036">
        <f>(TariffRandValues2324Reworked!P82*'MSCOA - Tariff Structure'!$R$2)+TariffRandValues2324Reworked!P82</f>
        <v>41476.647306308449</v>
      </c>
      <c r="Q82" s="1036">
        <f>(TariffRandValues2324Reworked!Q82*'MSCOA - Tariff Structure'!$R$2)+TariffRandValues2324Reworked!Q82</f>
        <v>67877.715932720952</v>
      </c>
      <c r="R82" s="1036">
        <f>(TariffRandValues2324Reworked!R82*'MSCOA - Tariff Structure'!$R$2)+TariffRandValues2324Reworked!R82</f>
        <v>30921.892466126083</v>
      </c>
      <c r="S82" s="1036">
        <f>(TariffRandValues2324Reworked!S82*'MSCOA - Tariff Structure'!$R$2)+TariffRandValues2324Reworked!S82</f>
        <v>58808.321789465743</v>
      </c>
      <c r="T82" s="1036">
        <f>(TariffRandValues2324Reworked!T82*'MSCOA - Tariff Structure'!$R$2)+TariffRandValues2324Reworked!T82</f>
        <v>57023.299283195869</v>
      </c>
      <c r="U82" s="1036">
        <f>(TariffRandValues2324Reworked!U82*'MSCOA - Tariff Structure'!$R$2)+TariffRandValues2324Reworked!U82</f>
        <v>76854.621863216045</v>
      </c>
      <c r="V82" s="1036">
        <f>SUM(L82:T82)</f>
        <v>541502.30761347478</v>
      </c>
      <c r="W82" s="1036">
        <f>U82+J82+K82</f>
        <v>232113.73314480833</v>
      </c>
    </row>
    <row r="83" spans="1:24" x14ac:dyDescent="0.35">
      <c r="A83" s="1038" t="s">
        <v>485</v>
      </c>
      <c r="B83" s="1038" t="s">
        <v>485</v>
      </c>
      <c r="C83" s="1038"/>
      <c r="D83" s="1038"/>
      <c r="E83" s="1038"/>
      <c r="F83" s="1038"/>
      <c r="G83" s="1038"/>
      <c r="H83" s="1038"/>
      <c r="I83" s="1036">
        <f>SUM(J83:U83)</f>
        <v>128163989.70221308</v>
      </c>
      <c r="J83" s="1036">
        <f>(TariffRandValues2324Reworked!J83*'MSCOA - Tariff Structure'!$R$2)+TariffRandValues2324Reworked!J83</f>
        <v>10954993.763927843</v>
      </c>
      <c r="K83" s="1036">
        <f>(TariffRandValues2324Reworked!K83*'MSCOA - Tariff Structure'!$R$2)+TariffRandValues2324Reworked!K83</f>
        <v>10979477.361055044</v>
      </c>
      <c r="L83" s="1036">
        <f>(TariffRandValues2324Reworked!L83*'MSCOA - Tariff Structure'!$R$2)+TariffRandValues2324Reworked!L83</f>
        <v>10638696.554856695</v>
      </c>
      <c r="M83" s="1036">
        <f>(TariffRandValues2324Reworked!M83*'MSCOA - Tariff Structure'!$R$2)+TariffRandValues2324Reworked!M83</f>
        <v>10999112.755430704</v>
      </c>
      <c r="N83" s="1036">
        <f>(TariffRandValues2324Reworked!N83*'MSCOA - Tariff Structure'!$R$2)+TariffRandValues2324Reworked!N83</f>
        <v>10690824.291551143</v>
      </c>
      <c r="O83" s="1036">
        <f>(TariffRandValues2324Reworked!O83*'MSCOA - Tariff Structure'!$R$2)+TariffRandValues2324Reworked!O83</f>
        <v>10492393.12125867</v>
      </c>
      <c r="P83" s="1036">
        <f>(TariffRandValues2324Reworked!P83*'MSCOA - Tariff Structure'!$R$2)+TariffRandValues2324Reworked!P83</f>
        <v>10507981.49569598</v>
      </c>
      <c r="Q83" s="1036">
        <f>(TariffRandValues2324Reworked!Q83*'MSCOA - Tariff Structure'!$R$2)+TariffRandValues2324Reworked!Q83</f>
        <v>10588757.617780223</v>
      </c>
      <c r="R83" s="1036">
        <f>(TariffRandValues2324Reworked!R83*'MSCOA - Tariff Structure'!$R$2)+TariffRandValues2324Reworked!R83</f>
        <v>10855177.108163342</v>
      </c>
      <c r="S83" s="1036">
        <f>(TariffRandValues2324Reworked!S83*'MSCOA - Tariff Structure'!$R$2)+TariffRandValues2324Reworked!S83</f>
        <v>10455547.872588664</v>
      </c>
      <c r="T83" s="1036">
        <f>(TariffRandValues2324Reworked!T83*'MSCOA - Tariff Structure'!$R$2)+TariffRandValues2324Reworked!T83</f>
        <v>10492393.12125867</v>
      </c>
      <c r="U83" s="1036">
        <f>(TariffRandValues2324Reworked!U83*'MSCOA - Tariff Structure'!$R$2)+TariffRandValues2324Reworked!U83</f>
        <v>10508634.638646092</v>
      </c>
      <c r="V83" s="1036">
        <f>SUM(L83:T83)</f>
        <v>95720883.938584089</v>
      </c>
      <c r="W83" s="1036">
        <f>U83+J83+K83</f>
        <v>32443105.763628982</v>
      </c>
      <c r="X83" s="245">
        <f>+V83+W83</f>
        <v>128163989.70221308</v>
      </c>
    </row>
    <row r="84" spans="1:24" x14ac:dyDescent="0.35">
      <c r="A84" s="1040" t="s">
        <v>1940</v>
      </c>
      <c r="B84" s="1040"/>
      <c r="C84" s="1040"/>
      <c r="D84" s="1040"/>
      <c r="E84" s="1040"/>
      <c r="F84" s="1040"/>
      <c r="G84" s="1040"/>
      <c r="H84" s="1040"/>
      <c r="I84" s="1041" t="e">
        <f>SUM(J84:U84)</f>
        <v>#REF!</v>
      </c>
      <c r="J84" s="1041" t="e">
        <f>'Tariff SUMMARY 26-27'!#REF!*'Annexure A'!$Q$160</f>
        <v>#REF!</v>
      </c>
      <c r="K84" s="1041" t="e">
        <f>'Tariff SUMMARY 26-27'!#REF!*'Annexure A'!$Q$160</f>
        <v>#REF!</v>
      </c>
      <c r="L84" s="1041" t="e">
        <f>'Tariff SUMMARY 26-27'!#REF!*'Annexure A'!$Q$160</f>
        <v>#REF!</v>
      </c>
      <c r="M84" s="1041" t="e">
        <f>'Tariff SUMMARY 26-27'!#REF!*'Annexure A'!$Q$160</f>
        <v>#REF!</v>
      </c>
      <c r="N84" s="1041" t="e">
        <f>'Tariff SUMMARY 26-27'!#REF!*'Annexure A'!$Q$160</f>
        <v>#REF!</v>
      </c>
      <c r="O84" s="1041" t="e">
        <f>'Tariff SUMMARY 26-27'!#REF!*'Annexure A'!$Q$160</f>
        <v>#REF!</v>
      </c>
      <c r="P84" s="1041" t="e">
        <f>'Tariff SUMMARY 26-27'!#REF!*'Annexure A'!$Q$160</f>
        <v>#REF!</v>
      </c>
      <c r="Q84" s="1041" t="e">
        <f>'Tariff SUMMARY 26-27'!#REF!*'Annexure A'!$Q$160</f>
        <v>#REF!</v>
      </c>
      <c r="R84" s="1041" t="e">
        <f>'Tariff SUMMARY 26-27'!#REF!*'Annexure A'!$Q$160</f>
        <v>#REF!</v>
      </c>
      <c r="S84" s="1041" t="e">
        <f>'Tariff SUMMARY 26-27'!#REF!*'Annexure A'!$Q$160</f>
        <v>#REF!</v>
      </c>
      <c r="T84" s="1041" t="e">
        <f>'Tariff SUMMARY 26-27'!#REF!*'Annexure A'!$Q$160</f>
        <v>#REF!</v>
      </c>
      <c r="U84" s="1041" t="e">
        <f>'Tariff SUMMARY 26-27'!#REF!*'Annexure A'!$Q$160</f>
        <v>#REF!</v>
      </c>
      <c r="V84" s="1041" t="e">
        <f>SUM(L84:T84)</f>
        <v>#REF!</v>
      </c>
      <c r="W84" s="1041" t="e">
        <f>U84+J84+K84</f>
        <v>#REF!</v>
      </c>
    </row>
    <row r="85" spans="1:24" x14ac:dyDescent="0.35">
      <c r="A85" s="275" t="s">
        <v>1931</v>
      </c>
      <c r="B85" s="275" t="s">
        <v>485</v>
      </c>
      <c r="C85" s="275"/>
      <c r="D85" s="275"/>
      <c r="E85" s="346"/>
      <c r="F85" s="346"/>
      <c r="G85" s="346"/>
      <c r="H85" s="346"/>
      <c r="I85" s="1033"/>
      <c r="J85" s="637">
        <f>'MSCOA - Tariff Structure'!$R$130/12</f>
        <v>10996689.205833333</v>
      </c>
      <c r="K85" s="637">
        <f>'MSCOA - Tariff Structure'!$R$130/12</f>
        <v>10996689.205833333</v>
      </c>
      <c r="L85" s="637">
        <f>'MSCOA - Tariff Structure'!$R$130/12</f>
        <v>10996689.205833333</v>
      </c>
      <c r="M85" s="637">
        <f>'MSCOA - Tariff Structure'!$R$130/12</f>
        <v>10996689.205833333</v>
      </c>
      <c r="N85" s="637">
        <f>'MSCOA - Tariff Structure'!$R$130/12</f>
        <v>10996689.205833333</v>
      </c>
      <c r="O85" s="637">
        <f>'MSCOA - Tariff Structure'!$R$130/12</f>
        <v>10996689.205833333</v>
      </c>
      <c r="P85" s="637">
        <f>'MSCOA - Tariff Structure'!$R$130/12</f>
        <v>10996689.205833333</v>
      </c>
      <c r="Q85" s="637">
        <f>'MSCOA - Tariff Structure'!$R$130/12</f>
        <v>10996689.205833333</v>
      </c>
      <c r="R85" s="637">
        <f>'MSCOA - Tariff Structure'!$R$130/12</f>
        <v>10996689.205833333</v>
      </c>
      <c r="S85" s="637">
        <f>'MSCOA - Tariff Structure'!$R$130/12</f>
        <v>10996689.205833333</v>
      </c>
      <c r="T85" s="637">
        <f>'MSCOA - Tariff Structure'!$R$130/12</f>
        <v>10996689.205833333</v>
      </c>
      <c r="U85" s="637">
        <f>'MSCOA - Tariff Structure'!$R$130/12</f>
        <v>10996689.205833333</v>
      </c>
      <c r="V85" s="1037">
        <f>SUM(L85:T85)</f>
        <v>98970202.852499992</v>
      </c>
      <c r="W85" s="1037">
        <f>U85+J85+K85</f>
        <v>32990067.6175</v>
      </c>
    </row>
    <row r="86" spans="1:24" x14ac:dyDescent="0.35">
      <c r="A86" s="577"/>
      <c r="B86" s="867"/>
      <c r="C86" s="867"/>
      <c r="D86" s="867"/>
      <c r="E86" s="867"/>
      <c r="F86" s="867"/>
      <c r="G86" s="867"/>
      <c r="H86" s="867"/>
      <c r="I86" s="867"/>
      <c r="J86" s="867"/>
      <c r="K86" s="867"/>
      <c r="L86" s="867"/>
      <c r="M86" s="867"/>
      <c r="N86" s="867"/>
      <c r="O86" s="867"/>
      <c r="P86" s="867"/>
      <c r="Q86" s="867"/>
      <c r="R86" s="867"/>
      <c r="S86" s="867"/>
      <c r="T86" s="867"/>
      <c r="U86" s="867"/>
      <c r="V86" s="875"/>
      <c r="W86" s="875"/>
    </row>
    <row r="87" spans="1:24" ht="15.5" x14ac:dyDescent="0.35">
      <c r="A87" s="867"/>
      <c r="B87" s="867"/>
      <c r="C87" s="603"/>
      <c r="D87" s="603"/>
      <c r="E87" s="603"/>
      <c r="F87" s="603"/>
      <c r="G87" s="603"/>
      <c r="H87" s="603"/>
      <c r="I87" s="1044" t="s">
        <v>1901</v>
      </c>
      <c r="J87" s="867"/>
      <c r="K87" s="867"/>
      <c r="L87" s="867"/>
      <c r="M87" s="867"/>
      <c r="N87" s="867"/>
      <c r="O87" s="867"/>
      <c r="P87" s="867"/>
      <c r="Q87" s="867"/>
      <c r="R87" s="867"/>
      <c r="S87" s="867"/>
      <c r="T87" s="867"/>
      <c r="U87" s="867"/>
      <c r="V87" s="875"/>
      <c r="W87" s="875"/>
    </row>
    <row r="88" spans="1:24" ht="15" thickBot="1" x14ac:dyDescent="0.4">
      <c r="A88" s="330"/>
      <c r="B88" s="330"/>
      <c r="I88" s="1045" t="s">
        <v>295</v>
      </c>
      <c r="J88" s="852">
        <f>SUM(J89:J92)</f>
        <v>449325395.57282227</v>
      </c>
      <c r="K88" s="852">
        <f t="shared" ref="K88:R88" si="10">SUM(K89:K92)</f>
        <v>431769709.17316252</v>
      </c>
      <c r="L88" s="852">
        <f t="shared" si="10"/>
        <v>357083035.2198357</v>
      </c>
      <c r="M88" s="852">
        <f t="shared" si="10"/>
        <v>350589287.14229685</v>
      </c>
      <c r="N88" s="852">
        <f t="shared" si="10"/>
        <v>355541301.9369508</v>
      </c>
      <c r="O88" s="852">
        <f t="shared" si="10"/>
        <v>328659219.64783901</v>
      </c>
      <c r="P88" s="852">
        <f t="shared" si="10"/>
        <v>324143964.55346608</v>
      </c>
      <c r="Q88" s="852">
        <f t="shared" si="10"/>
        <v>262709696.75314683</v>
      </c>
      <c r="R88" s="852">
        <f t="shared" si="10"/>
        <v>270984432.5308181</v>
      </c>
      <c r="S88" s="852">
        <f>SUM(S89:S92)</f>
        <v>265797546.76759785</v>
      </c>
      <c r="T88" s="852">
        <f>SUM(T89:T92)</f>
        <v>347458503.05225223</v>
      </c>
      <c r="U88" s="852">
        <f>SUM(U89:U92)</f>
        <v>470129431.73593575</v>
      </c>
      <c r="V88" s="853">
        <f>SUM(J88:U88)</f>
        <v>4214191524.0861235</v>
      </c>
      <c r="W88" s="877"/>
    </row>
    <row r="89" spans="1:24" ht="15" thickTop="1" x14ac:dyDescent="0.35">
      <c r="A89" s="330"/>
      <c r="B89" s="330"/>
      <c r="I89" s="1046" t="s">
        <v>542</v>
      </c>
      <c r="J89" s="845">
        <f t="shared" ref="J89:U89" si="11">+J4+J5+J11+J12+J27</f>
        <v>188584627.63793403</v>
      </c>
      <c r="K89" s="719">
        <f t="shared" si="11"/>
        <v>176531074.76671284</v>
      </c>
      <c r="L89" s="719">
        <f t="shared" si="11"/>
        <v>161312478.24717799</v>
      </c>
      <c r="M89" s="719">
        <f t="shared" si="11"/>
        <v>161941225.47102219</v>
      </c>
      <c r="N89" s="719">
        <f t="shared" si="11"/>
        <v>161364904.96586457</v>
      </c>
      <c r="O89" s="719">
        <f t="shared" si="11"/>
        <v>163419806.7195887</v>
      </c>
      <c r="P89" s="719">
        <f t="shared" si="11"/>
        <v>154283754.87701997</v>
      </c>
      <c r="Q89" s="719">
        <f t="shared" si="11"/>
        <v>97672306.440308064</v>
      </c>
      <c r="R89" s="719">
        <f t="shared" si="11"/>
        <v>101845685.78959632</v>
      </c>
      <c r="S89" s="719">
        <f t="shared" si="11"/>
        <v>102702419.26854455</v>
      </c>
      <c r="T89" s="719">
        <f t="shared" si="11"/>
        <v>174831912.67581451</v>
      </c>
      <c r="U89" s="846">
        <f t="shared" si="11"/>
        <v>217259931.5406211</v>
      </c>
      <c r="V89" s="855">
        <f>SUM(J89:U89)</f>
        <v>1861750128.4002049</v>
      </c>
      <c r="W89" s="878"/>
    </row>
    <row r="90" spans="1:24" x14ac:dyDescent="0.35">
      <c r="A90" s="330"/>
      <c r="B90" s="330"/>
      <c r="I90" s="1046" t="s">
        <v>297</v>
      </c>
      <c r="J90" s="845">
        <f t="shared" ref="J90:U90" si="12">SUM(J29:J82,J14:J25,J8:J9,J85)</f>
        <v>244432053.67089692</v>
      </c>
      <c r="K90" s="719">
        <f t="shared" si="12"/>
        <v>238905436.54533121</v>
      </c>
      <c r="L90" s="719">
        <f t="shared" si="12"/>
        <v>180917203.45175979</v>
      </c>
      <c r="M90" s="719">
        <f t="shared" si="12"/>
        <v>173434291.94980276</v>
      </c>
      <c r="N90" s="719">
        <f t="shared" si="12"/>
        <v>179270915.71349394</v>
      </c>
      <c r="O90" s="719">
        <f t="shared" si="12"/>
        <v>150532362.84095046</v>
      </c>
      <c r="P90" s="719">
        <f t="shared" si="12"/>
        <v>155137571.21470889</v>
      </c>
      <c r="Q90" s="719">
        <f t="shared" si="12"/>
        <v>150233975.72901735</v>
      </c>
      <c r="R90" s="719">
        <f t="shared" si="12"/>
        <v>154068912.66701725</v>
      </c>
      <c r="S90" s="719">
        <f t="shared" si="12"/>
        <v>148424922.66042343</v>
      </c>
      <c r="T90" s="719">
        <f t="shared" si="12"/>
        <v>157919540.28913784</v>
      </c>
      <c r="U90" s="846">
        <f t="shared" si="12"/>
        <v>237007145.0566051</v>
      </c>
      <c r="V90" s="855">
        <f>SUM(J90:U90)</f>
        <v>2170284331.7891445</v>
      </c>
      <c r="W90" s="878"/>
    </row>
    <row r="91" spans="1:24" x14ac:dyDescent="0.35">
      <c r="A91" s="330"/>
      <c r="B91" s="330"/>
      <c r="I91" s="1046" t="s">
        <v>298</v>
      </c>
      <c r="J91" s="845">
        <f t="shared" ref="J91:U91" si="13">+J3+J7</f>
        <v>5353720.5000634883</v>
      </c>
      <c r="K91" s="719">
        <f t="shared" si="13"/>
        <v>5353720.5000634883</v>
      </c>
      <c r="L91" s="719">
        <f t="shared" si="13"/>
        <v>4214656.9660412157</v>
      </c>
      <c r="M91" s="719">
        <f t="shared" si="13"/>
        <v>4214656.9660412157</v>
      </c>
      <c r="N91" s="719">
        <f t="shared" si="13"/>
        <v>4214656.9660412157</v>
      </c>
      <c r="O91" s="719">
        <f t="shared" si="13"/>
        <v>4214656.9660412157</v>
      </c>
      <c r="P91" s="719">
        <f t="shared" si="13"/>
        <v>4214656.9660412157</v>
      </c>
      <c r="Q91" s="719">
        <f t="shared" si="13"/>
        <v>4214656.9660412157</v>
      </c>
      <c r="R91" s="719">
        <f t="shared" si="13"/>
        <v>4214656.9660412157</v>
      </c>
      <c r="S91" s="719">
        <f t="shared" si="13"/>
        <v>4214656.9660412157</v>
      </c>
      <c r="T91" s="719">
        <f t="shared" si="13"/>
        <v>4214656.9660412157</v>
      </c>
      <c r="U91" s="846">
        <f t="shared" si="13"/>
        <v>5353720.5000634883</v>
      </c>
      <c r="V91" s="855">
        <f>SUM(J91:U91)</f>
        <v>53993074.1945614</v>
      </c>
      <c r="W91" s="878"/>
    </row>
    <row r="92" spans="1:24" x14ac:dyDescent="0.35">
      <c r="A92" s="330"/>
      <c r="B92" s="330"/>
      <c r="I92" s="1047" t="s">
        <v>543</v>
      </c>
      <c r="J92" s="847">
        <f>+J83</f>
        <v>10954993.763927843</v>
      </c>
      <c r="K92" s="721">
        <f t="shared" ref="K92:T92" si="14">+K83</f>
        <v>10979477.361055044</v>
      </c>
      <c r="L92" s="721">
        <f t="shared" si="14"/>
        <v>10638696.554856695</v>
      </c>
      <c r="M92" s="721">
        <f t="shared" si="14"/>
        <v>10999112.755430704</v>
      </c>
      <c r="N92" s="721">
        <f t="shared" si="14"/>
        <v>10690824.291551143</v>
      </c>
      <c r="O92" s="721">
        <f t="shared" si="14"/>
        <v>10492393.12125867</v>
      </c>
      <c r="P92" s="721">
        <f t="shared" si="14"/>
        <v>10507981.49569598</v>
      </c>
      <c r="Q92" s="721">
        <f t="shared" si="14"/>
        <v>10588757.617780223</v>
      </c>
      <c r="R92" s="721">
        <f t="shared" si="14"/>
        <v>10855177.108163342</v>
      </c>
      <c r="S92" s="721">
        <f t="shared" si="14"/>
        <v>10455547.872588664</v>
      </c>
      <c r="T92" s="721">
        <f t="shared" si="14"/>
        <v>10492393.12125867</v>
      </c>
      <c r="U92" s="848">
        <f>+U83</f>
        <v>10508634.638646092</v>
      </c>
      <c r="V92" s="856">
        <f>SUM(J92:U92)</f>
        <v>128163989.70221308</v>
      </c>
      <c r="W92" s="879"/>
    </row>
    <row r="93" spans="1:24" x14ac:dyDescent="0.35">
      <c r="A93" s="330"/>
      <c r="B93" s="330"/>
      <c r="I93" s="1048"/>
      <c r="J93" s="872"/>
      <c r="K93" s="872"/>
      <c r="L93" s="872"/>
      <c r="M93" s="872"/>
      <c r="N93" s="872"/>
      <c r="O93" s="872"/>
      <c r="P93" s="872"/>
      <c r="Q93" s="872"/>
      <c r="R93" s="872"/>
      <c r="S93" s="872"/>
      <c r="T93" s="872"/>
      <c r="U93" s="872"/>
      <c r="V93" s="873"/>
      <c r="W93" s="874"/>
    </row>
    <row r="94" spans="1:24" ht="15.5" x14ac:dyDescent="0.35">
      <c r="A94" s="330"/>
      <c r="B94" s="330"/>
      <c r="D94" s="381"/>
      <c r="I94" s="1049" t="s">
        <v>1918</v>
      </c>
      <c r="J94" s="869"/>
      <c r="K94" s="869"/>
      <c r="L94" s="869"/>
      <c r="M94" s="869"/>
      <c r="N94" s="869"/>
      <c r="O94" s="869"/>
      <c r="P94" s="869"/>
      <c r="Q94" s="869"/>
      <c r="R94" s="869"/>
      <c r="S94" s="869"/>
      <c r="T94" s="869"/>
      <c r="U94" s="869"/>
      <c r="V94" s="869"/>
      <c r="W94" s="869"/>
      <c r="X94" s="594"/>
    </row>
    <row r="95" spans="1:24" ht="15" thickBot="1" x14ac:dyDescent="0.4">
      <c r="A95" s="330"/>
      <c r="B95" s="330"/>
      <c r="I95" s="849" t="s">
        <v>295</v>
      </c>
      <c r="J95" s="850">
        <f t="shared" ref="J95:T95" si="15">SUM(J96:J99)</f>
        <v>505041744.62385231</v>
      </c>
      <c r="K95" s="850">
        <f t="shared" si="15"/>
        <v>485309153.11063474</v>
      </c>
      <c r="L95" s="850">
        <f t="shared" si="15"/>
        <v>401361331.58709532</v>
      </c>
      <c r="M95" s="850">
        <f t="shared" si="15"/>
        <v>394062358.74794167</v>
      </c>
      <c r="N95" s="850">
        <f t="shared" si="15"/>
        <v>399628423.37713277</v>
      </c>
      <c r="O95" s="850">
        <f t="shared" si="15"/>
        <v>369412962.88417113</v>
      </c>
      <c r="P95" s="850">
        <f t="shared" si="15"/>
        <v>364337816.1580959</v>
      </c>
      <c r="Q95" s="850">
        <f t="shared" si="15"/>
        <v>295285699.15053707</v>
      </c>
      <c r="R95" s="850">
        <f t="shared" si="15"/>
        <v>304586502.16463959</v>
      </c>
      <c r="S95" s="850">
        <f t="shared" si="15"/>
        <v>298756442.56678003</v>
      </c>
      <c r="T95" s="850">
        <f t="shared" si="15"/>
        <v>390543357.43073159</v>
      </c>
      <c r="U95" s="850">
        <f>SUM(U96:U99)</f>
        <v>528425481.2711919</v>
      </c>
      <c r="V95" s="850">
        <f>SUM(J95:U95)</f>
        <v>4736751273.0728035</v>
      </c>
      <c r="W95" s="869"/>
    </row>
    <row r="96" spans="1:24" ht="15" thickTop="1" x14ac:dyDescent="0.35">
      <c r="A96" s="330"/>
      <c r="B96" s="330"/>
      <c r="I96" s="860" t="s">
        <v>296</v>
      </c>
      <c r="J96" s="1106">
        <f>J89*(1+'MSCOA - Tariff Structure'!$S$2)</f>
        <v>211969121.46503788</v>
      </c>
      <c r="K96" s="859">
        <f>K89*(1+'MSCOA - Tariff Structure'!$S$2)</f>
        <v>198420928.03778526</v>
      </c>
      <c r="L96" s="859">
        <f>L89*(1+'MSCOA - Tariff Structure'!$S$2)</f>
        <v>181315225.54982808</v>
      </c>
      <c r="M96" s="859">
        <f>M89*(1+'MSCOA - Tariff Structure'!$S$2)</f>
        <v>182021937.42942896</v>
      </c>
      <c r="N96" s="859">
        <f>N89*(1+'MSCOA - Tariff Structure'!$S$2)</f>
        <v>181374153.1816318</v>
      </c>
      <c r="O96" s="859">
        <f>O89*(1+'MSCOA - Tariff Structure'!$S$2)</f>
        <v>183683862.75281772</v>
      </c>
      <c r="P96" s="859">
        <f>P89*(1+'MSCOA - Tariff Structure'!$S$2)</f>
        <v>173414940.48177046</v>
      </c>
      <c r="Q96" s="859">
        <f>Q89*(1+'MSCOA - Tariff Structure'!$S$2)</f>
        <v>109783672.43890628</v>
      </c>
      <c r="R96" s="859">
        <f>R89*(1+'MSCOA - Tariff Structure'!$S$2)</f>
        <v>114474550.82750627</v>
      </c>
      <c r="S96" s="859">
        <f>S89*(1+'MSCOA - Tariff Structure'!$S$2)</f>
        <v>115437519.25784409</v>
      </c>
      <c r="T96" s="859">
        <f>T89*(1+'MSCOA - Tariff Structure'!$S$2)</f>
        <v>196511069.84761554</v>
      </c>
      <c r="U96" s="1107">
        <f>U89*(1+'MSCOA - Tariff Structure'!$S$2)</f>
        <v>244200163.05165815</v>
      </c>
      <c r="V96" s="865">
        <f>SUM(J96:U96)</f>
        <v>2092607144.3218305</v>
      </c>
      <c r="W96" s="869"/>
    </row>
    <row r="97" spans="1:23" x14ac:dyDescent="0.35">
      <c r="A97" s="330"/>
      <c r="B97" s="330"/>
      <c r="I97" s="860" t="s">
        <v>297</v>
      </c>
      <c r="J97" s="1106">
        <f>J90*(1+'MSCOA - Tariff Structure'!$S$2)</f>
        <v>274741628.32608819</v>
      </c>
      <c r="K97" s="859">
        <f>K90*(1+'MSCOA - Tariff Structure'!$S$2)</f>
        <v>268529710.6769523</v>
      </c>
      <c r="L97" s="859">
        <f>L90*(1+'MSCOA - Tariff Structure'!$S$2)</f>
        <v>203350936.67977801</v>
      </c>
      <c r="M97" s="859">
        <f>M90*(1+'MSCOA - Tariff Structure'!$S$2)</f>
        <v>194940144.15157831</v>
      </c>
      <c r="N97" s="859">
        <f>N90*(1+'MSCOA - Tariff Structure'!$S$2)</f>
        <v>201500509.26196721</v>
      </c>
      <c r="O97" s="859">
        <f>O90*(1+'MSCOA - Tariff Structure'!$S$2)</f>
        <v>169198375.83322832</v>
      </c>
      <c r="P97" s="859">
        <f>P90*(1+'MSCOA - Tariff Structure'!$S$2)</f>
        <v>174374630.04533282</v>
      </c>
      <c r="Q97" s="859">
        <f>Q90*(1+'MSCOA - Tariff Structure'!$S$2)</f>
        <v>168862988.71941552</v>
      </c>
      <c r="R97" s="859">
        <f>R90*(1+'MSCOA - Tariff Structure'!$S$2)</f>
        <v>173173457.8377274</v>
      </c>
      <c r="S97" s="859">
        <f>S90*(1+'MSCOA - Tariff Structure'!$S$2)</f>
        <v>166829613.07031596</v>
      </c>
      <c r="T97" s="859">
        <f>T90*(1+'MSCOA - Tariff Structure'!$S$2)</f>
        <v>177501563.28499094</v>
      </c>
      <c r="U97" s="1107">
        <f>U90*(1+'MSCOA - Tariff Structure'!$S$2)</f>
        <v>266396031.04362416</v>
      </c>
      <c r="V97" s="865">
        <f>SUM(J97:U97)</f>
        <v>2439399588.9309988</v>
      </c>
      <c r="W97" s="869"/>
    </row>
    <row r="98" spans="1:23" x14ac:dyDescent="0.35">
      <c r="A98" s="330"/>
      <c r="B98" s="330"/>
      <c r="I98" s="860" t="s">
        <v>298</v>
      </c>
      <c r="J98" s="1106">
        <f>J91*(1+'MSCOA - Tariff Structure'!$S$2)</f>
        <v>6017581.8420713618</v>
      </c>
      <c r="K98" s="859">
        <f>K91*(1+'MSCOA - Tariff Structure'!$S$2)</f>
        <v>6017581.8420713618</v>
      </c>
      <c r="L98" s="859">
        <f>L91*(1+'MSCOA - Tariff Structure'!$S$2)</f>
        <v>4737274.4298303267</v>
      </c>
      <c r="M98" s="859">
        <f>M91*(1+'MSCOA - Tariff Structure'!$S$2)</f>
        <v>4737274.4298303267</v>
      </c>
      <c r="N98" s="859">
        <f>N91*(1+'MSCOA - Tariff Structure'!$S$2)</f>
        <v>4737274.4298303267</v>
      </c>
      <c r="O98" s="859">
        <f>O91*(1+'MSCOA - Tariff Structure'!$S$2)</f>
        <v>4737274.4298303267</v>
      </c>
      <c r="P98" s="859">
        <f>P91*(1+'MSCOA - Tariff Structure'!$S$2)</f>
        <v>4737274.4298303267</v>
      </c>
      <c r="Q98" s="859">
        <f>Q91*(1+'MSCOA - Tariff Structure'!$S$2)</f>
        <v>4737274.4298303267</v>
      </c>
      <c r="R98" s="859">
        <f>R91*(1+'MSCOA - Tariff Structure'!$S$2)</f>
        <v>4737274.4298303267</v>
      </c>
      <c r="S98" s="859">
        <f>S91*(1+'MSCOA - Tariff Structure'!$S$2)</f>
        <v>4737274.4298303267</v>
      </c>
      <c r="T98" s="859">
        <f>T91*(1+'MSCOA - Tariff Structure'!$S$2)</f>
        <v>4737274.4298303267</v>
      </c>
      <c r="U98" s="1107">
        <f>U91*(1+'MSCOA - Tariff Structure'!$S$2)</f>
        <v>6017581.8420713618</v>
      </c>
      <c r="V98" s="865">
        <f>SUM(J98:U98)</f>
        <v>60688215.394687034</v>
      </c>
      <c r="W98" s="869"/>
    </row>
    <row r="99" spans="1:23" x14ac:dyDescent="0.35">
      <c r="A99" s="330"/>
      <c r="B99" s="330"/>
      <c r="I99" s="861" t="s">
        <v>543</v>
      </c>
      <c r="J99" s="1108">
        <f>J92*(1+'MSCOA - Tariff Structure'!$S$2)</f>
        <v>12313412.990654897</v>
      </c>
      <c r="K99" s="862">
        <f>K92*(1+'MSCOA - Tariff Structure'!$S$2)</f>
        <v>12340932.553825872</v>
      </c>
      <c r="L99" s="862">
        <f>L92*(1+'MSCOA - Tariff Structure'!$S$2)</f>
        <v>11957894.927658927</v>
      </c>
      <c r="M99" s="862">
        <f>M92*(1+'MSCOA - Tariff Structure'!$S$2)</f>
        <v>12363002.737104112</v>
      </c>
      <c r="N99" s="862">
        <f>N92*(1+'MSCOA - Tariff Structure'!$S$2)</f>
        <v>12016486.503703486</v>
      </c>
      <c r="O99" s="862">
        <f>O92*(1+'MSCOA - Tariff Structure'!$S$2)</f>
        <v>11793449.868294748</v>
      </c>
      <c r="P99" s="862">
        <f>P92*(1+'MSCOA - Tariff Structure'!$S$2)</f>
        <v>11810971.201162282</v>
      </c>
      <c r="Q99" s="862">
        <f>Q92*(1+'MSCOA - Tariff Structure'!$S$2)</f>
        <v>11901763.562384972</v>
      </c>
      <c r="R99" s="862">
        <f>R92*(1+'MSCOA - Tariff Structure'!$S$2)</f>
        <v>12201219.069575597</v>
      </c>
      <c r="S99" s="862">
        <f>S92*(1+'MSCOA - Tariff Structure'!$S$2)</f>
        <v>11752035.808789659</v>
      </c>
      <c r="T99" s="862">
        <f>T92*(1+'MSCOA - Tariff Structure'!$S$2)</f>
        <v>11793449.868294748</v>
      </c>
      <c r="U99" s="1109">
        <f>U92*(1+'MSCOA - Tariff Structure'!$S$2)</f>
        <v>11811705.33383821</v>
      </c>
      <c r="V99" s="857">
        <f>SUM(J99:U99)</f>
        <v>144056324.42528749</v>
      </c>
      <c r="W99" s="869"/>
    </row>
    <row r="100" spans="1:23" x14ac:dyDescent="0.35">
      <c r="A100" s="330"/>
      <c r="B100" s="330"/>
      <c r="I100" s="1050"/>
      <c r="J100" s="869"/>
      <c r="K100" s="869"/>
      <c r="L100" s="869"/>
      <c r="M100" s="869"/>
      <c r="N100" s="869"/>
      <c r="O100" s="869"/>
      <c r="P100" s="869"/>
      <c r="Q100" s="869"/>
      <c r="R100" s="869"/>
      <c r="S100" s="869"/>
      <c r="T100" s="869"/>
      <c r="U100" s="869"/>
      <c r="V100" s="869"/>
      <c r="W100" s="869"/>
    </row>
    <row r="101" spans="1:23" ht="15.5" x14ac:dyDescent="0.35">
      <c r="A101" s="330"/>
      <c r="B101" s="330"/>
      <c r="I101" s="1049" t="s">
        <v>1924</v>
      </c>
      <c r="J101" s="869"/>
      <c r="K101" s="869"/>
      <c r="L101" s="869"/>
      <c r="M101" s="869"/>
      <c r="N101" s="869"/>
      <c r="O101" s="869"/>
      <c r="P101" s="869"/>
      <c r="Q101" s="869"/>
      <c r="R101" s="869"/>
      <c r="S101" s="869"/>
      <c r="T101" s="869"/>
      <c r="U101" s="869"/>
      <c r="V101" s="869"/>
      <c r="W101" s="869"/>
    </row>
    <row r="102" spans="1:23" ht="15" thickBot="1" x14ac:dyDescent="0.4">
      <c r="A102" s="330"/>
      <c r="B102" s="330"/>
      <c r="I102" s="854" t="s">
        <v>295</v>
      </c>
      <c r="J102" s="854">
        <f>SUM(J103:J106)</f>
        <v>555040877.34161365</v>
      </c>
      <c r="K102" s="854">
        <f t="shared" ref="K102:T102" si="16">SUM(K103:K106)</f>
        <v>533354759.26858765</v>
      </c>
      <c r="L102" s="854">
        <f t="shared" si="16"/>
        <v>441096103.41421777</v>
      </c>
      <c r="M102" s="854">
        <f t="shared" si="16"/>
        <v>433074532.26398796</v>
      </c>
      <c r="N102" s="854">
        <f t="shared" si="16"/>
        <v>439191637.29146898</v>
      </c>
      <c r="O102" s="854">
        <f t="shared" si="16"/>
        <v>405984846.20970404</v>
      </c>
      <c r="P102" s="854">
        <f t="shared" si="16"/>
        <v>400407259.9577474</v>
      </c>
      <c r="Q102" s="854">
        <f t="shared" si="16"/>
        <v>324518983.36644024</v>
      </c>
      <c r="R102" s="854">
        <f t="shared" si="16"/>
        <v>334740565.87893891</v>
      </c>
      <c r="S102" s="854">
        <f t="shared" si="16"/>
        <v>328333330.38089126</v>
      </c>
      <c r="T102" s="854">
        <f t="shared" si="16"/>
        <v>429207149.81637394</v>
      </c>
      <c r="U102" s="854">
        <f>SUM(U103:U106)</f>
        <v>580739603.91703987</v>
      </c>
      <c r="V102" s="854">
        <f>SUM(J102:U102)</f>
        <v>5205689649.1070118</v>
      </c>
      <c r="W102" s="869"/>
    </row>
    <row r="103" spans="1:23" ht="15" thickTop="1" x14ac:dyDescent="0.35">
      <c r="A103" s="330"/>
      <c r="B103" s="330"/>
      <c r="I103" s="863" t="s">
        <v>296</v>
      </c>
      <c r="J103" s="863">
        <f>J96*(1+'MSCOA - Tariff Structure'!$T$2)</f>
        <v>232954064.49007663</v>
      </c>
      <c r="K103" s="624">
        <f>K96*(1+'MSCOA - Tariff Structure'!$T$2)</f>
        <v>218064599.913526</v>
      </c>
      <c r="L103" s="624">
        <f>L96*(1+'MSCOA - Tariff Structure'!$T$2)</f>
        <v>199265432.87926105</v>
      </c>
      <c r="M103" s="624">
        <f>M96*(1+'MSCOA - Tariff Structure'!$T$2)</f>
        <v>200042109.23494244</v>
      </c>
      <c r="N103" s="624">
        <f>N96*(1+'MSCOA - Tariff Structure'!$T$2)</f>
        <v>199330194.34661335</v>
      </c>
      <c r="O103" s="624">
        <f>O96*(1+'MSCOA - Tariff Structure'!$T$2)</f>
        <v>201868565.16534668</v>
      </c>
      <c r="P103" s="624">
        <f>P96*(1+'MSCOA - Tariff Structure'!$T$2)</f>
        <v>190583019.58946574</v>
      </c>
      <c r="Q103" s="624">
        <f>Q96*(1+'MSCOA - Tariff Structure'!$T$2)</f>
        <v>120652256.01035801</v>
      </c>
      <c r="R103" s="624">
        <f>R96*(1+'MSCOA - Tariff Structure'!$T$2)</f>
        <v>125807531.35942939</v>
      </c>
      <c r="S103" s="624">
        <f>S96*(1+'MSCOA - Tariff Structure'!$T$2)</f>
        <v>126865833.66437066</v>
      </c>
      <c r="T103" s="624">
        <f>T96*(1+'MSCOA - Tariff Structure'!$T$2)</f>
        <v>215965665.76252946</v>
      </c>
      <c r="U103" s="880">
        <f>U96*(1+'MSCOA - Tariff Structure'!$T$2)</f>
        <v>268375979.19377232</v>
      </c>
      <c r="V103" s="866">
        <f>SUM(J103:U103)</f>
        <v>2299775251.6096916</v>
      </c>
      <c r="W103" s="869"/>
    </row>
    <row r="104" spans="1:23" x14ac:dyDescent="0.35">
      <c r="A104" s="330"/>
      <c r="B104" s="330"/>
      <c r="I104" s="863" t="s">
        <v>297</v>
      </c>
      <c r="J104" s="863">
        <f>J97*(1+'MSCOA - Tariff Structure'!$T$2)</f>
        <v>301941049.53037089</v>
      </c>
      <c r="K104" s="624">
        <f>K97*(1+'MSCOA - Tariff Structure'!$T$2)</f>
        <v>295114152.03397059</v>
      </c>
      <c r="L104" s="624">
        <f>L97*(1+'MSCOA - Tariff Structure'!$T$2)</f>
        <v>223482679.41107604</v>
      </c>
      <c r="M104" s="624">
        <f>M97*(1+'MSCOA - Tariff Structure'!$T$2)</f>
        <v>214239218.42258456</v>
      </c>
      <c r="N104" s="624">
        <f>N97*(1+'MSCOA - Tariff Structure'!$T$2)</f>
        <v>221449059.67890197</v>
      </c>
      <c r="O104" s="624">
        <f>O97*(1+'MSCOA - Tariff Structure'!$T$2)</f>
        <v>185949015.04071793</v>
      </c>
      <c r="P104" s="624">
        <f>P97*(1+'MSCOA - Tariff Structure'!$T$2)</f>
        <v>191637718.41982076</v>
      </c>
      <c r="Q104" s="624">
        <f>Q97*(1+'MSCOA - Tariff Structure'!$T$2)</f>
        <v>185580424.60263765</v>
      </c>
      <c r="R104" s="624">
        <f>R97*(1+'MSCOA - Tariff Structure'!$T$2)</f>
        <v>190317630.1636624</v>
      </c>
      <c r="S104" s="624">
        <f>S97*(1+'MSCOA - Tariff Structure'!$T$2)</f>
        <v>183345744.76427722</v>
      </c>
      <c r="T104" s="624">
        <f>T97*(1+'MSCOA - Tariff Structure'!$T$2)</f>
        <v>195074218.05020502</v>
      </c>
      <c r="U104" s="880">
        <f>U97*(1+'MSCOA - Tariff Structure'!$T$2)</f>
        <v>292769238.11694294</v>
      </c>
      <c r="V104" s="866">
        <f>SUM(J104:U104)</f>
        <v>2680900148.235168</v>
      </c>
      <c r="W104" s="869"/>
    </row>
    <row r="105" spans="1:23" x14ac:dyDescent="0.35">
      <c r="A105" s="330"/>
      <c r="B105" s="330"/>
      <c r="I105" s="863" t="s">
        <v>298</v>
      </c>
      <c r="J105" s="863">
        <f>J98*(1+'MSCOA - Tariff Structure'!$T$2)</f>
        <v>6613322.4444364263</v>
      </c>
      <c r="K105" s="624">
        <f>K98*(1+'MSCOA - Tariff Structure'!$T$2)</f>
        <v>6613322.4444364263</v>
      </c>
      <c r="L105" s="624">
        <f>L98*(1+'MSCOA - Tariff Structure'!$T$2)</f>
        <v>5206264.5983835291</v>
      </c>
      <c r="M105" s="624">
        <f>M98*(1+'MSCOA - Tariff Structure'!$T$2)</f>
        <v>5206264.5983835291</v>
      </c>
      <c r="N105" s="624">
        <f>N98*(1+'MSCOA - Tariff Structure'!$T$2)</f>
        <v>5206264.5983835291</v>
      </c>
      <c r="O105" s="624">
        <f>O98*(1+'MSCOA - Tariff Structure'!$T$2)</f>
        <v>5206264.5983835291</v>
      </c>
      <c r="P105" s="624">
        <f>P98*(1+'MSCOA - Tariff Structure'!$T$2)</f>
        <v>5206264.5983835291</v>
      </c>
      <c r="Q105" s="624">
        <f>Q98*(1+'MSCOA - Tariff Structure'!$T$2)</f>
        <v>5206264.5983835291</v>
      </c>
      <c r="R105" s="624">
        <f>R98*(1+'MSCOA - Tariff Structure'!$T$2)</f>
        <v>5206264.5983835291</v>
      </c>
      <c r="S105" s="624">
        <f>S98*(1+'MSCOA - Tariff Structure'!$T$2)</f>
        <v>5206264.5983835291</v>
      </c>
      <c r="T105" s="624">
        <f>T98*(1+'MSCOA - Tariff Structure'!$T$2)</f>
        <v>5206264.5983835291</v>
      </c>
      <c r="U105" s="880">
        <f>U98*(1+'MSCOA - Tariff Structure'!$T$2)</f>
        <v>6613322.4444364263</v>
      </c>
      <c r="V105" s="866">
        <f>SUM(J105:U105)</f>
        <v>66696348.718761049</v>
      </c>
      <c r="W105" s="869"/>
    </row>
    <row r="106" spans="1:23" x14ac:dyDescent="0.35">
      <c r="A106" s="330"/>
      <c r="B106" s="330"/>
      <c r="I106" s="626" t="s">
        <v>543</v>
      </c>
      <c r="J106" s="626">
        <f>J99*(1+'MSCOA - Tariff Structure'!$T$2)</f>
        <v>13532440.876729732</v>
      </c>
      <c r="K106" s="864">
        <f>K99*(1+'MSCOA - Tariff Structure'!$T$2)</f>
        <v>13562684.876654632</v>
      </c>
      <c r="L106" s="864">
        <f>L99*(1+'MSCOA - Tariff Structure'!$T$2)</f>
        <v>13141726.525497161</v>
      </c>
      <c r="M106" s="864">
        <f>M99*(1+'MSCOA - Tariff Structure'!$T$2)</f>
        <v>13586940.008077418</v>
      </c>
      <c r="N106" s="864">
        <f>N99*(1+'MSCOA - Tariff Structure'!$T$2)</f>
        <v>13206118.667570131</v>
      </c>
      <c r="O106" s="864">
        <f>O99*(1+'MSCOA - Tariff Structure'!$T$2)</f>
        <v>12961001.405255927</v>
      </c>
      <c r="P106" s="864">
        <f>P99*(1+'MSCOA - Tariff Structure'!$T$2)</f>
        <v>12980257.350077348</v>
      </c>
      <c r="Q106" s="864">
        <f>Q99*(1+'MSCOA - Tariff Structure'!$T$2)</f>
        <v>13080038.155061085</v>
      </c>
      <c r="R106" s="864">
        <f>R99*(1+'MSCOA - Tariff Structure'!$T$2)</f>
        <v>13409139.75746358</v>
      </c>
      <c r="S106" s="864">
        <f>S99*(1+'MSCOA - Tariff Structure'!$T$2)</f>
        <v>12915487.353859834</v>
      </c>
      <c r="T106" s="864">
        <f>T99*(1+'MSCOA - Tariff Structure'!$T$2)</f>
        <v>12961001.405255927</v>
      </c>
      <c r="U106" s="881">
        <f>U99*(1+'MSCOA - Tariff Structure'!$T$2)</f>
        <v>12981064.161888191</v>
      </c>
      <c r="V106" s="858">
        <f>SUM(J106:U106)</f>
        <v>158317900.54339093</v>
      </c>
      <c r="W106" s="869"/>
    </row>
    <row r="107" spans="1:23" x14ac:dyDescent="0.35">
      <c r="A107" s="330"/>
      <c r="B107" s="330"/>
      <c r="I107" s="1050"/>
      <c r="J107" s="869"/>
      <c r="K107" s="869"/>
      <c r="L107" s="869"/>
      <c r="M107" s="869"/>
      <c r="N107" s="869"/>
      <c r="O107" s="869"/>
      <c r="P107" s="869"/>
      <c r="Q107" s="869"/>
      <c r="R107" s="869"/>
      <c r="S107" s="869"/>
      <c r="T107" s="869"/>
      <c r="U107" s="869"/>
      <c r="V107" s="869"/>
      <c r="W107" s="869"/>
    </row>
    <row r="108" spans="1:23" ht="15.5" x14ac:dyDescent="0.35">
      <c r="A108" s="330"/>
      <c r="B108" s="330"/>
      <c r="I108" s="1049" t="s">
        <v>1945</v>
      </c>
      <c r="J108" s="869"/>
      <c r="K108" s="869"/>
      <c r="L108" s="869"/>
      <c r="M108" s="869"/>
      <c r="N108" s="869"/>
      <c r="O108" s="869"/>
      <c r="P108" s="869"/>
      <c r="Q108" s="869"/>
      <c r="R108" s="869"/>
      <c r="S108" s="869"/>
      <c r="T108" s="869"/>
      <c r="U108" s="869"/>
      <c r="V108" s="869"/>
      <c r="W108" s="869"/>
    </row>
    <row r="109" spans="1:23" ht="15" thickBot="1" x14ac:dyDescent="0.4">
      <c r="A109" s="330"/>
      <c r="B109" s="330"/>
      <c r="I109" s="1085" t="s">
        <v>295</v>
      </c>
      <c r="J109" s="1085">
        <f>SUM(J110:J113)</f>
        <v>594948316.42247581</v>
      </c>
      <c r="K109" s="1085">
        <f t="shared" ref="K109:T109" si="17">SUM(K110:K113)</f>
        <v>571702966.45999908</v>
      </c>
      <c r="L109" s="1085">
        <f t="shared" si="17"/>
        <v>472810913.24970007</v>
      </c>
      <c r="M109" s="1085">
        <f t="shared" si="17"/>
        <v>464212591.13376874</v>
      </c>
      <c r="N109" s="1085">
        <f t="shared" si="17"/>
        <v>470769516.01272565</v>
      </c>
      <c r="O109" s="1085">
        <f t="shared" si="17"/>
        <v>435175156.65218186</v>
      </c>
      <c r="P109" s="1085">
        <f t="shared" si="17"/>
        <v>429196541.94870949</v>
      </c>
      <c r="Q109" s="1085">
        <f t="shared" si="17"/>
        <v>347851898.27048737</v>
      </c>
      <c r="R109" s="1085">
        <f t="shared" si="17"/>
        <v>358808412.56563467</v>
      </c>
      <c r="S109" s="1085">
        <f t="shared" si="17"/>
        <v>351940496.83527738</v>
      </c>
      <c r="T109" s="1085">
        <f t="shared" si="17"/>
        <v>460067143.88817132</v>
      </c>
      <c r="U109" s="1085">
        <f>SUM(U110:U113)</f>
        <v>622494781.43867505</v>
      </c>
      <c r="V109" s="1085">
        <f>SUM(J109:U109)</f>
        <v>5579978734.8778057</v>
      </c>
      <c r="W109" s="869"/>
    </row>
    <row r="110" spans="1:23" ht="15" thickTop="1" x14ac:dyDescent="0.35">
      <c r="A110" s="330"/>
      <c r="B110" s="330"/>
      <c r="I110" s="1086" t="s">
        <v>296</v>
      </c>
      <c r="J110" s="1086">
        <f>J103*(1+'MSCOA - Tariff Structure'!$U$2)</f>
        <v>249703461.72691315</v>
      </c>
      <c r="K110" s="1087">
        <f>K103*(1+'MSCOA - Tariff Structure'!$U$2)</f>
        <v>233743444.64730853</v>
      </c>
      <c r="L110" s="1087">
        <f>L103*(1+'MSCOA - Tariff Structure'!$U$2)</f>
        <v>213592617.50327992</v>
      </c>
      <c r="M110" s="1087">
        <f>M103*(1+'MSCOA - Tariff Structure'!$U$2)</f>
        <v>214425136.88893482</v>
      </c>
      <c r="N110" s="1087">
        <f>N103*(1+'MSCOA - Tariff Structure'!$U$2)</f>
        <v>213662035.32013485</v>
      </c>
      <c r="O110" s="1087">
        <f>O103*(1+'MSCOA - Tariff Structure'!$U$2)</f>
        <v>216382915.00073513</v>
      </c>
      <c r="P110" s="1087">
        <f>P103*(1+'MSCOA - Tariff Structure'!$U$2)</f>
        <v>204285938.69794834</v>
      </c>
      <c r="Q110" s="1087">
        <f>Q103*(1+'MSCOA - Tariff Structure'!$U$2)</f>
        <v>129327153.21750276</v>
      </c>
      <c r="R110" s="1087">
        <f>R103*(1+'MSCOA - Tariff Structure'!$U$2)</f>
        <v>134853092.86417237</v>
      </c>
      <c r="S110" s="1087">
        <f>S103*(1+'MSCOA - Tariff Structure'!$U$2)</f>
        <v>135987487.10483891</v>
      </c>
      <c r="T110" s="1087">
        <f>T103*(1+'MSCOA - Tariff Structure'!$U$2)</f>
        <v>231493597.13085535</v>
      </c>
      <c r="U110" s="1110">
        <f>U103*(1+'MSCOA - Tariff Structure'!$U$2)</f>
        <v>287672212.09780455</v>
      </c>
      <c r="V110" s="1088">
        <f>SUM(J110:U110)</f>
        <v>2465129092.2004285</v>
      </c>
      <c r="W110" s="869"/>
    </row>
    <row r="111" spans="1:23" x14ac:dyDescent="0.35">
      <c r="A111" s="330"/>
      <c r="B111" s="330"/>
      <c r="I111" s="1086" t="s">
        <v>297</v>
      </c>
      <c r="J111" s="1086">
        <f>J104*(1+'MSCOA - Tariff Structure'!$U$2)</f>
        <v>323650610.99160457</v>
      </c>
      <c r="K111" s="1087">
        <f>K104*(1+'MSCOA - Tariff Structure'!$U$2)</f>
        <v>316332859.56521308</v>
      </c>
      <c r="L111" s="1087">
        <f>L104*(1+'MSCOA - Tariff Structure'!$U$2)</f>
        <v>239551084.06073242</v>
      </c>
      <c r="M111" s="1087">
        <f>M104*(1+'MSCOA - Tariff Structure'!$U$2)</f>
        <v>229643018.22716841</v>
      </c>
      <c r="N111" s="1087">
        <f>N104*(1+'MSCOA - Tariff Structure'!$U$2)</f>
        <v>237371247.06981504</v>
      </c>
      <c r="O111" s="1087">
        <f>O104*(1+'MSCOA - Tariff Structure'!$U$2)</f>
        <v>199318749.22214556</v>
      </c>
      <c r="P111" s="1087">
        <f>P104*(1+'MSCOA - Tariff Structure'!$U$2)</f>
        <v>205416470.37420589</v>
      </c>
      <c r="Q111" s="1087">
        <f>Q104*(1+'MSCOA - Tariff Structure'!$U$2)</f>
        <v>198923657.1315673</v>
      </c>
      <c r="R111" s="1087">
        <f>R104*(1+'MSCOA - Tariff Structure'!$U$2)</f>
        <v>204001467.77242973</v>
      </c>
      <c r="S111" s="1087">
        <f>S104*(1+'MSCOA - Tariff Structure'!$U$2)</f>
        <v>196528303.81282878</v>
      </c>
      <c r="T111" s="1087">
        <f>T104*(1+'MSCOA - Tariff Structure'!$U$2)</f>
        <v>209100054.32801479</v>
      </c>
      <c r="U111" s="1110">
        <f>U104*(1+'MSCOA - Tariff Structure'!$U$2)</f>
        <v>313819346.33755118</v>
      </c>
      <c r="V111" s="1088">
        <f>SUM(J111:U111)</f>
        <v>2873656868.8932767</v>
      </c>
      <c r="W111" s="869"/>
    </row>
    <row r="112" spans="1:23" x14ac:dyDescent="0.35">
      <c r="A112" s="330"/>
      <c r="B112" s="330"/>
      <c r="I112" s="1086" t="s">
        <v>298</v>
      </c>
      <c r="J112" s="1086">
        <f>J105*(1+'MSCOA - Tariff Structure'!$U$2)</f>
        <v>7088820.3281914061</v>
      </c>
      <c r="K112" s="1087">
        <f>K105*(1+'MSCOA - Tariff Structure'!$U$2)</f>
        <v>7088820.3281914061</v>
      </c>
      <c r="L112" s="1087">
        <f>L105*(1+'MSCOA - Tariff Structure'!$U$2)</f>
        <v>5580595.0230073053</v>
      </c>
      <c r="M112" s="1087">
        <f>M105*(1+'MSCOA - Tariff Structure'!$U$2)</f>
        <v>5580595.0230073053</v>
      </c>
      <c r="N112" s="1087">
        <f>N105*(1+'MSCOA - Tariff Structure'!$U$2)</f>
        <v>5580595.0230073053</v>
      </c>
      <c r="O112" s="1087">
        <f>O105*(1+'MSCOA - Tariff Structure'!$U$2)</f>
        <v>5580595.0230073053</v>
      </c>
      <c r="P112" s="1087">
        <f>P105*(1+'MSCOA - Tariff Structure'!$U$2)</f>
        <v>5580595.0230073053</v>
      </c>
      <c r="Q112" s="1087">
        <f>Q105*(1+'MSCOA - Tariff Structure'!$U$2)</f>
        <v>5580595.0230073053</v>
      </c>
      <c r="R112" s="1087">
        <f>R105*(1+'MSCOA - Tariff Structure'!$U$2)</f>
        <v>5580595.0230073053</v>
      </c>
      <c r="S112" s="1087">
        <f>S105*(1+'MSCOA - Tariff Structure'!$U$2)</f>
        <v>5580595.0230073053</v>
      </c>
      <c r="T112" s="1087">
        <f>T105*(1+'MSCOA - Tariff Structure'!$U$2)</f>
        <v>5580595.0230073053</v>
      </c>
      <c r="U112" s="1110">
        <f>U105*(1+'MSCOA - Tariff Structure'!$U$2)</f>
        <v>7088820.3281914061</v>
      </c>
      <c r="V112" s="1088">
        <f>SUM(J112:U112)</f>
        <v>71491816.191639945</v>
      </c>
      <c r="W112" s="869"/>
    </row>
    <row r="113" spans="1:24" x14ac:dyDescent="0.35">
      <c r="A113" s="330"/>
      <c r="B113" s="330"/>
      <c r="I113" s="1089" t="s">
        <v>543</v>
      </c>
      <c r="J113" s="1089">
        <f>J106*(1+'MSCOA - Tariff Structure'!$U$2)</f>
        <v>14505423.375766601</v>
      </c>
      <c r="K113" s="1090">
        <f>K106*(1+'MSCOA - Tariff Structure'!$U$2)</f>
        <v>14537841.919286102</v>
      </c>
      <c r="L113" s="1090">
        <f>L106*(1+'MSCOA - Tariff Structure'!$U$2)</f>
        <v>14086616.662680408</v>
      </c>
      <c r="M113" s="1090">
        <f>M106*(1+'MSCOA - Tariff Structure'!$U$2)</f>
        <v>14563840.994658185</v>
      </c>
      <c r="N113" s="1090">
        <f>N106*(1+'MSCOA - Tariff Structure'!$U$2)</f>
        <v>14155638.599768424</v>
      </c>
      <c r="O113" s="1090">
        <f>O106*(1+'MSCOA - Tariff Structure'!$U$2)</f>
        <v>13892897.406293828</v>
      </c>
      <c r="P113" s="1090">
        <f>P106*(1+'MSCOA - Tariff Structure'!$U$2)</f>
        <v>13913537.85354791</v>
      </c>
      <c r="Q113" s="1090">
        <f>Q106*(1+'MSCOA - Tariff Structure'!$U$2)</f>
        <v>14020492.898409978</v>
      </c>
      <c r="R113" s="1090">
        <f>R106*(1+'MSCOA - Tariff Structure'!$U$2)</f>
        <v>14373256.906025212</v>
      </c>
      <c r="S113" s="1090">
        <f>S106*(1+'MSCOA - Tariff Structure'!$U$2)</f>
        <v>13844110.894602358</v>
      </c>
      <c r="T113" s="1090">
        <f>T106*(1+'MSCOA - Tariff Structure'!$U$2)</f>
        <v>13892897.406293828</v>
      </c>
      <c r="U113" s="1111">
        <f>U106*(1+'MSCOA - Tariff Structure'!$U$2)</f>
        <v>13914402.675127953</v>
      </c>
      <c r="V113" s="1091">
        <f>SUM(J113:U113)</f>
        <v>169700957.59246081</v>
      </c>
      <c r="W113" s="869"/>
    </row>
    <row r="114" spans="1:24" x14ac:dyDescent="0.35">
      <c r="A114" s="330"/>
      <c r="B114" s="330"/>
      <c r="C114" s="330"/>
      <c r="D114" s="330"/>
      <c r="E114" s="330"/>
      <c r="F114" s="330"/>
      <c r="G114" s="330"/>
      <c r="H114" s="330"/>
      <c r="I114" s="330"/>
      <c r="J114" s="330"/>
      <c r="K114" s="330"/>
      <c r="L114" s="330"/>
      <c r="M114" s="330"/>
      <c r="N114" s="330"/>
      <c r="O114" s="330"/>
      <c r="P114" s="330"/>
      <c r="Q114" s="330"/>
      <c r="R114" s="330"/>
      <c r="S114" s="330"/>
      <c r="T114" s="330"/>
      <c r="U114" s="330"/>
      <c r="V114" s="330"/>
      <c r="W114" s="869"/>
      <c r="X114" s="330"/>
    </row>
  </sheetData>
  <pageMargins left="0.7" right="0.7" top="0.75" bottom="0.75" header="0.3" footer="0.3"/>
  <pageSetup paperSize="8" scale="75" fitToHeight="0" orientation="landscape" r:id="rId1"/>
  <colBreaks count="1" manualBreakCount="1">
    <brk id="23"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B2AF-FFCB-44D0-A834-AA04B27C92DA}">
  <sheetPr>
    <tabColor rgb="FF00FF00"/>
  </sheetPr>
  <dimension ref="A1:AB114"/>
  <sheetViews>
    <sheetView workbookViewId="0">
      <selection activeCell="AB79" sqref="AB79"/>
    </sheetView>
  </sheetViews>
  <sheetFormatPr defaultColWidth="9.08984375" defaultRowHeight="14.5" x14ac:dyDescent="0.35"/>
  <cols>
    <col min="1" max="1" width="19.36328125" style="245" customWidth="1"/>
    <col min="2" max="2" width="13.6328125" style="245" customWidth="1"/>
    <col min="3" max="8" width="0" style="245" hidden="1" customWidth="1"/>
    <col min="9" max="9" width="15.36328125" style="587" bestFit="1" customWidth="1"/>
    <col min="10" max="21" width="14.90625" style="594" bestFit="1" customWidth="1"/>
    <col min="22" max="22" width="16.90625" style="594" customWidth="1"/>
    <col min="23" max="23" width="14.90625" style="594" customWidth="1"/>
    <col min="24" max="24" width="0" style="245" hidden="1" customWidth="1"/>
    <col min="25" max="25" width="8.6328125" style="245" bestFit="1" customWidth="1"/>
    <col min="26" max="26" width="15.6328125" style="245" bestFit="1" customWidth="1"/>
    <col min="27" max="27" width="14.36328125" style="245" bestFit="1" customWidth="1"/>
    <col min="28" max="28" width="15.453125" style="245" bestFit="1" customWidth="1"/>
    <col min="29" max="16384" width="9.08984375" style="245"/>
  </cols>
  <sheetData>
    <row r="1" spans="1:28" s="247" customFormat="1" x14ac:dyDescent="0.35">
      <c r="A1" s="247" t="s">
        <v>531</v>
      </c>
      <c r="B1" s="247" t="s">
        <v>532</v>
      </c>
      <c r="C1" s="247" t="s">
        <v>548</v>
      </c>
      <c r="D1" s="247" t="s">
        <v>549</v>
      </c>
      <c r="E1" s="247" t="s">
        <v>548</v>
      </c>
      <c r="F1" s="247" t="s">
        <v>549</v>
      </c>
      <c r="G1" s="247" t="s">
        <v>1429</v>
      </c>
      <c r="H1" s="247" t="s">
        <v>1429</v>
      </c>
      <c r="I1" s="1092" t="s">
        <v>282</v>
      </c>
      <c r="J1" s="1093" t="s">
        <v>521</v>
      </c>
      <c r="K1" s="1093" t="s">
        <v>522</v>
      </c>
      <c r="L1" s="1093" t="s">
        <v>523</v>
      </c>
      <c r="M1" s="1093" t="s">
        <v>524</v>
      </c>
      <c r="N1" s="1093" t="s">
        <v>525</v>
      </c>
      <c r="O1" s="1093" t="s">
        <v>526</v>
      </c>
      <c r="P1" s="1093" t="s">
        <v>527</v>
      </c>
      <c r="Q1" s="1093" t="s">
        <v>528</v>
      </c>
      <c r="R1" s="1093" t="s">
        <v>540</v>
      </c>
      <c r="S1" s="1093" t="s">
        <v>541</v>
      </c>
      <c r="T1" s="1093" t="s">
        <v>529</v>
      </c>
      <c r="U1" s="1093" t="s">
        <v>530</v>
      </c>
      <c r="V1" s="586" t="s">
        <v>281</v>
      </c>
      <c r="W1" s="586" t="s">
        <v>280</v>
      </c>
    </row>
    <row r="2" spans="1:28" ht="15" thickBot="1" x14ac:dyDescent="0.4">
      <c r="A2" s="247" t="s">
        <v>1520</v>
      </c>
      <c r="I2" s="1094">
        <f>SUM(I3:I5)</f>
        <v>152952315.84882137</v>
      </c>
      <c r="J2" s="602"/>
      <c r="K2" s="602"/>
      <c r="L2" s="602"/>
      <c r="M2" s="602"/>
      <c r="N2" s="602"/>
      <c r="O2" s="602"/>
      <c r="P2" s="602"/>
      <c r="Q2" s="602"/>
      <c r="R2" s="602"/>
      <c r="S2" s="602"/>
      <c r="T2" s="1119">
        <v>-0.23346180619356299</v>
      </c>
      <c r="U2" s="602"/>
      <c r="V2" s="603"/>
      <c r="W2" s="603"/>
    </row>
    <row r="3" spans="1:28" ht="15" thickTop="1" x14ac:dyDescent="0.35">
      <c r="A3" s="1035" t="s">
        <v>309</v>
      </c>
      <c r="B3" s="1035" t="s">
        <v>307</v>
      </c>
      <c r="C3" s="1035" t="s">
        <v>824</v>
      </c>
      <c r="D3" s="1035" t="s">
        <v>825</v>
      </c>
      <c r="E3" s="1035" t="s">
        <v>824</v>
      </c>
      <c r="F3" s="1035" t="s">
        <v>825</v>
      </c>
      <c r="G3" s="1035"/>
      <c r="H3" s="1035"/>
      <c r="I3" s="1095">
        <f>SUM(J3:U3)</f>
        <v>53990615.045618296</v>
      </c>
      <c r="J3" s="1037">
        <f>'Tariff SUMMARY 26-27'!$B$6*'Annexure A'!$P$6*50</f>
        <v>5353476.6614544494</v>
      </c>
      <c r="K3" s="1037">
        <f>'Tariff SUMMARY 26-27'!$B$6*'Annexure A'!$P$6*50</f>
        <v>5353476.6614544494</v>
      </c>
      <c r="L3" s="1037">
        <f>'Tariff SUMMARY 26-27'!$B$6*'Annexure A'!$O$6*50</f>
        <v>4214465.0068061072</v>
      </c>
      <c r="M3" s="1037">
        <f>'Tariff SUMMARY 26-27'!$B$6*'Annexure A'!$O$6*50</f>
        <v>4214465.0068061072</v>
      </c>
      <c r="N3" s="1037">
        <f>'Tariff SUMMARY 26-27'!$B$6*'Annexure A'!$O$6*50</f>
        <v>4214465.0068061072</v>
      </c>
      <c r="O3" s="1037">
        <f>'Tariff SUMMARY 26-27'!$B$6*'Annexure A'!$O$6*50</f>
        <v>4214465.0068061072</v>
      </c>
      <c r="P3" s="1037">
        <f>'Tariff SUMMARY 26-27'!$B$6*'Annexure A'!$O$6*50</f>
        <v>4214465.0068061072</v>
      </c>
      <c r="Q3" s="1037">
        <f>'Tariff SUMMARY 26-27'!$B$6*'Annexure A'!$O$6*50</f>
        <v>4214465.0068061072</v>
      </c>
      <c r="R3" s="1037">
        <f>'Tariff SUMMARY 26-27'!$B$6*'Annexure A'!$O$6*50</f>
        <v>4214465.0068061072</v>
      </c>
      <c r="S3" s="1037">
        <f>'Tariff SUMMARY 26-27'!$B$6*'Annexure A'!$O$6*50</f>
        <v>4214465.0068061072</v>
      </c>
      <c r="T3" s="1037">
        <f>'Tariff SUMMARY 26-27'!$B$6*'Annexure A'!$O$6*50</f>
        <v>4214465.0068061072</v>
      </c>
      <c r="U3" s="1037">
        <f>'Tariff SUMMARY 26-27'!$B$6*'Annexure A'!$P$6*50</f>
        <v>5353476.6614544494</v>
      </c>
      <c r="V3" s="1037">
        <f>SUM(L3:T3)</f>
        <v>37930185.061254956</v>
      </c>
      <c r="W3" s="1037">
        <f>U3+J3+K3</f>
        <v>16060429.984363347</v>
      </c>
      <c r="Z3" s="270">
        <f>V3+V7</f>
        <v>37931912.694370933</v>
      </c>
      <c r="AA3" s="270">
        <f>W3+W7</f>
        <v>16061161.500190465</v>
      </c>
      <c r="AB3" s="382">
        <f>SUM(Z3:AA3)</f>
        <v>53993074.1945614</v>
      </c>
    </row>
    <row r="4" spans="1:28" x14ac:dyDescent="0.35">
      <c r="A4" s="1035" t="s">
        <v>309</v>
      </c>
      <c r="B4" s="1035" t="s">
        <v>307</v>
      </c>
      <c r="C4" s="1035" t="s">
        <v>824</v>
      </c>
      <c r="D4" s="1035" t="s">
        <v>825</v>
      </c>
      <c r="E4" s="1035" t="s">
        <v>824</v>
      </c>
      <c r="F4" s="1035" t="s">
        <v>825</v>
      </c>
      <c r="G4" s="1035"/>
      <c r="H4" s="1035"/>
      <c r="I4" s="1095">
        <f>SUM(J4:U4)</f>
        <v>62115737.733603768</v>
      </c>
      <c r="J4" s="1036">
        <f>(TariffRandValues2324Reworked!J4*'MSCOA - Tariff Structure'!$R$2)+TariffRandValues2324Reworked!J4</f>
        <v>7073753.5529496605</v>
      </c>
      <c r="K4" s="1036">
        <f>(TariffRandValues2324Reworked!K4*'MSCOA - Tariff Structure'!$R$2)+TariffRandValues2324Reworked!K4</f>
        <v>4084249.8577979812</v>
      </c>
      <c r="L4" s="1036">
        <f>(TariffRandValues2324Reworked!L4*'MSCOA - Tariff Structure'!$R$2)+TariffRandValues2324Reworked!L4</f>
        <v>4261859.4519472662</v>
      </c>
      <c r="M4" s="1036">
        <f>(TariffRandValues2324Reworked!M4*'MSCOA - Tariff Structure'!$R$2)+TariffRandValues2324Reworked!M4</f>
        <v>4177372.7905521584</v>
      </c>
      <c r="N4" s="1036">
        <f>(TariffRandValues2324Reworked!N4*'MSCOA - Tariff Structure'!$R$2)+TariffRandValues2324Reworked!N4</f>
        <v>3520943.252971916</v>
      </c>
      <c r="O4" s="1036">
        <f>(TariffRandValues2324Reworked!O4*'MSCOA - Tariff Structure'!$R$2)+TariffRandValues2324Reworked!O4</f>
        <v>6290176.9758534003</v>
      </c>
      <c r="P4" s="1036">
        <f>(TariffRandValues2324Reworked!P4*'MSCOA - Tariff Structure'!$R$2)+TariffRandValues2324Reworked!P4</f>
        <v>5840354.3671265151</v>
      </c>
      <c r="Q4" s="1036">
        <f>(TariffRandValues2324Reworked!Q4*'MSCOA - Tariff Structure'!$R$2)+TariffRandValues2324Reworked!Q4</f>
        <v>5734355.9329967555</v>
      </c>
      <c r="R4" s="1036">
        <f>('Tariff Rand Values 2024-25'!R4*'Tariff Rand Values 2024-25 Actu'!$T$2)+'Tariff Rand Values 2024-25'!R4</f>
        <v>4916781.6996896621</v>
      </c>
      <c r="S4" s="1036">
        <f>('Tariff Rand Values 2024-25'!S4*'Tariff Rand Values 2024-25 Actu'!$T$2)+'Tariff Rand Values 2024-25'!S4</f>
        <v>4818963.2350890618</v>
      </c>
      <c r="T4" s="1036">
        <f>('Tariff Rand Values 2024-25'!T4*'Tariff Rand Values 2024-25 Actu'!$T$2)+'Tariff Rand Values 2024-25'!T4</f>
        <v>5060207.0878319964</v>
      </c>
      <c r="U4" s="1036">
        <f>('Tariff Rand Values 2024-25'!U4*'Tariff Rand Values 2024-25 Actu'!$T$2)+'Tariff Rand Values 2024-25'!U4</f>
        <v>6336719.528797389</v>
      </c>
      <c r="V4" s="1036">
        <f>SUM(L4:T4)</f>
        <v>44621014.79405874</v>
      </c>
      <c r="W4" s="1036">
        <f>U4+J4+K4</f>
        <v>17494722.939545032</v>
      </c>
      <c r="X4" s="245">
        <f>+W4+V4+V5+W5+V8+V9+W8+W9</f>
        <v>99038356.453056082</v>
      </c>
    </row>
    <row r="5" spans="1:28" x14ac:dyDescent="0.35">
      <c r="A5" s="1035" t="s">
        <v>309</v>
      </c>
      <c r="B5" s="1035" t="s">
        <v>307</v>
      </c>
      <c r="C5" s="1035" t="s">
        <v>824</v>
      </c>
      <c r="D5" s="1035" t="s">
        <v>825</v>
      </c>
      <c r="E5" s="1035"/>
      <c r="F5" s="1035"/>
      <c r="G5" s="1035"/>
      <c r="H5" s="1035"/>
      <c r="I5" s="1095">
        <f>SUM(J5:U5)</f>
        <v>36845963.069599293</v>
      </c>
      <c r="J5" s="1036">
        <f>(TariffRandValues2324Reworked!J5*'MSCOA - Tariff Structure'!$R$2)+TariffRandValues2324Reworked!J5</f>
        <v>6350113.4153828854</v>
      </c>
      <c r="K5" s="1036">
        <f>(TariffRandValues2324Reworked!K5*'MSCOA - Tariff Structure'!$R$2)+TariffRandValues2324Reworked!K5</f>
        <v>726013.56268014724</v>
      </c>
      <c r="L5" s="1036">
        <f>(TariffRandValues2324Reworked!L5*'MSCOA - Tariff Structure'!$R$2)+TariffRandValues2324Reworked!L5</f>
        <v>2321906.0054012802</v>
      </c>
      <c r="M5" s="1036">
        <f>(TariffRandValues2324Reworked!M5*'MSCOA - Tariff Structure'!$R$2)+TariffRandValues2324Reworked!M5</f>
        <v>2568679.7624547333</v>
      </c>
      <c r="N5" s="1036">
        <f>(TariffRandValues2324Reworked!N5*'MSCOA - Tariff Structure'!$R$2)+TariffRandValues2324Reworked!N5</f>
        <v>2556669.6345145213</v>
      </c>
      <c r="O5" s="1036">
        <f>(TariffRandValues2324Reworked!O5*'MSCOA - Tariff Structure'!$R$2)+TariffRandValues2324Reworked!O5</f>
        <v>3678483.2130957716</v>
      </c>
      <c r="P5" s="1036">
        <f>(TariffRandValues2324Reworked!P5*'MSCOA - Tariff Structure'!$R$2)+TariffRandValues2324Reworked!P5</f>
        <v>3415412.9982187347</v>
      </c>
      <c r="Q5" s="1036">
        <f>(TariffRandValues2324Reworked!Q5*'MSCOA - Tariff Structure'!$R$2)+TariffRandValues2324Reworked!Q5</f>
        <v>3353838.2839655844</v>
      </c>
      <c r="R5" s="1036">
        <f>('Tariff Rand Values 2024-25'!R5*'Tariff Rand Values 2024-25 Actu'!$T$2)+'Tariff Rand Values 2024-25'!R5</f>
        <v>2875566.8894393663</v>
      </c>
      <c r="S5" s="1036">
        <f>('Tariff Rand Values 2024-25'!S5*'Tariff Rand Values 2024-25 Actu'!$T$2)+'Tariff Rand Values 2024-25'!S5</f>
        <v>2818279.7312665177</v>
      </c>
      <c r="T5" s="1036">
        <f>('Tariff Rand Values 2024-25'!T5*'Tariff Rand Values 2024-25 Actu'!$T$2)+'Tariff Rand Values 2024-25'!T5</f>
        <v>2959286.8819807479</v>
      </c>
      <c r="U5" s="1036">
        <f>('Tariff Rand Values 2024-25'!U5*'Tariff Rand Values 2024-25 Actu'!$T$2)+'Tariff Rand Values 2024-25'!U5</f>
        <v>3221712.6911990065</v>
      </c>
      <c r="V5" s="1036">
        <f>SUM(L5:T5)</f>
        <v>26548123.400337256</v>
      </c>
      <c r="W5" s="1036">
        <f>U5+J5+K5</f>
        <v>10297839.66926204</v>
      </c>
    </row>
    <row r="6" spans="1:28" ht="15" thickBot="1" x14ac:dyDescent="0.4">
      <c r="A6" s="247" t="s">
        <v>1521</v>
      </c>
      <c r="I6" s="1094">
        <f>SUM(I7:I9)</f>
        <v>79114.798796118353</v>
      </c>
      <c r="J6" s="602"/>
      <c r="K6" s="602"/>
      <c r="L6" s="602"/>
      <c r="M6" s="602"/>
      <c r="N6" s="602"/>
      <c r="O6" s="602"/>
      <c r="P6" s="602"/>
      <c r="Q6" s="602"/>
      <c r="R6" s="602"/>
      <c r="S6" s="602"/>
      <c r="T6" s="602"/>
      <c r="U6" s="602"/>
      <c r="V6" s="603">
        <f>V5+V4+V3</f>
        <v>109099323.25565094</v>
      </c>
      <c r="W6" s="603">
        <f>W5+W4+W3</f>
        <v>43852992.593170419</v>
      </c>
    </row>
    <row r="7" spans="1:28" ht="15" thickTop="1" x14ac:dyDescent="0.35">
      <c r="A7" s="1035" t="s">
        <v>309</v>
      </c>
      <c r="B7" s="1035" t="s">
        <v>307</v>
      </c>
      <c r="C7" s="1035" t="s">
        <v>824</v>
      </c>
      <c r="D7" s="1035" t="s">
        <v>825</v>
      </c>
      <c r="E7" s="1035" t="s">
        <v>824</v>
      </c>
      <c r="F7" s="1035" t="s">
        <v>825</v>
      </c>
      <c r="G7" s="1035"/>
      <c r="H7" s="1035"/>
      <c r="I7" s="1095">
        <f>SUM(J7:U7)</f>
        <v>2459.148943093523</v>
      </c>
      <c r="J7" s="1037">
        <f>2*'Annexure A'!$P$6*50</f>
        <v>243.83860903914595</v>
      </c>
      <c r="K7" s="1037">
        <f>2*'Annexure A'!$P$6*50</f>
        <v>243.83860903914595</v>
      </c>
      <c r="L7" s="1037">
        <f>2*'Annexure A'!$O$6*50</f>
        <v>191.95923510845398</v>
      </c>
      <c r="M7" s="1037">
        <f>2*'Annexure A'!$O$6*50</f>
        <v>191.95923510845398</v>
      </c>
      <c r="N7" s="1037">
        <f>2*'Annexure A'!$O$6*50</f>
        <v>191.95923510845398</v>
      </c>
      <c r="O7" s="1037">
        <f>2*'Annexure A'!$O$6*50</f>
        <v>191.95923510845398</v>
      </c>
      <c r="P7" s="1037">
        <f>2*'Annexure A'!$O$6*50</f>
        <v>191.95923510845398</v>
      </c>
      <c r="Q7" s="1037">
        <f>2*'Annexure A'!$O$6*50</f>
        <v>191.95923510845398</v>
      </c>
      <c r="R7" s="1037">
        <f>2*'Annexure A'!$O$6*50</f>
        <v>191.95923510845398</v>
      </c>
      <c r="S7" s="1037">
        <f>2*'Annexure A'!$O$6*50</f>
        <v>191.95923510845398</v>
      </c>
      <c r="T7" s="1037">
        <f>2*'Annexure A'!$O$6*50</f>
        <v>191.95923510845398</v>
      </c>
      <c r="U7" s="1037">
        <f>2*'Annexure A'!$P$6*50</f>
        <v>243.83860903914595</v>
      </c>
      <c r="V7" s="1037">
        <f>SUM(L7:T7)</f>
        <v>1727.6331159760857</v>
      </c>
      <c r="W7" s="1037">
        <f>U7+J7+K7</f>
        <v>731.51582711743788</v>
      </c>
      <c r="X7" s="245">
        <f>+W7+V7</f>
        <v>2459.1489430935235</v>
      </c>
    </row>
    <row r="8" spans="1:28" x14ac:dyDescent="0.35">
      <c r="A8" s="1035" t="s">
        <v>309</v>
      </c>
      <c r="B8" s="1035" t="s">
        <v>307</v>
      </c>
      <c r="C8" s="1035" t="s">
        <v>824</v>
      </c>
      <c r="D8" s="1035" t="s">
        <v>825</v>
      </c>
      <c r="E8" s="1035" t="s">
        <v>824</v>
      </c>
      <c r="F8" s="1035" t="s">
        <v>825</v>
      </c>
      <c r="G8" s="1035"/>
      <c r="H8" s="1035"/>
      <c r="I8" s="1095">
        <f>SUM(J8:U8)</f>
        <v>41762.340029653431</v>
      </c>
      <c r="J8" s="1036">
        <f>(TariffRandValues2324Reworked!J8*'MSCOA - Tariff Structure'!$R$2)+TariffRandValues2324Reworked!J8</f>
        <v>7031.9934250929336</v>
      </c>
      <c r="K8" s="1036">
        <f>(TariffRandValues2324Reworked!K8*'MSCOA - Tariff Structure'!$R$2)+TariffRandValues2324Reworked!K8</f>
        <v>7010.3327192730658</v>
      </c>
      <c r="L8" s="1036">
        <f>(TariffRandValues2324Reworked!L8*'MSCOA - Tariff Structure'!$R$2)+TariffRandValues2324Reworked!L8</f>
        <v>3610.7032734120085</v>
      </c>
      <c r="M8" s="1036">
        <f>(TariffRandValues2324Reworked!M8*'MSCOA - Tariff Structure'!$R$2)+TariffRandValues2324Reworked!M8</f>
        <v>3244.8043960590117</v>
      </c>
      <c r="N8" s="1036">
        <f>(TariffRandValues2324Reworked!N8*'MSCOA - Tariff Structure'!$R$2)+TariffRandValues2324Reworked!N8</f>
        <v>3587.9696332786521</v>
      </c>
      <c r="O8" s="1036">
        <f>(TariffRandValues2324Reworked!O8*'MSCOA - Tariff Structure'!$R$2)+TariffRandValues2324Reworked!O8</f>
        <v>3244.8043960590117</v>
      </c>
      <c r="P8" s="1036">
        <f>(TariffRandValues2324Reworked!P8*'MSCOA - Tariff Structure'!$R$2)+TariffRandValues2324Reworked!P8</f>
        <v>3297.3172259538323</v>
      </c>
      <c r="Q8" s="1036">
        <f>(TariffRandValues2324Reworked!Q8*'MSCOA - Tariff Structure'!$R$2)+TariffRandValues2324Reworked!Q8</f>
        <v>3224.0435098215248</v>
      </c>
      <c r="R8" s="1036">
        <f>('Tariff Rand Values 2024-25'!R8*'Tariff Rand Values 2024-25 Actu'!$T$2)+'Tariff Rand Values 2024-25'!R8</f>
        <v>2433.9077540935941</v>
      </c>
      <c r="S8" s="1036">
        <f>('Tariff Rand Values 2024-25'!S8*'Tariff Rand Values 2024-25 Actu'!$T$2)+'Tariff Rand Values 2024-25'!S8</f>
        <v>2396.4630194152314</v>
      </c>
      <c r="T8" s="1036">
        <f>('Tariff Rand Values 2024-25'!T8*'Tariff Rand Values 2024-25 Actu'!$T$2)+'Tariff Rand Values 2024-25'!T8</f>
        <v>1794.4669003553954</v>
      </c>
      <c r="U8" s="1036">
        <f>('Tariff Rand Values 2024-25'!U8*'Tariff Rand Values 2024-25 Actu'!$T$2)+'Tariff Rand Values 2024-25'!U8</f>
        <v>885.53377683916619</v>
      </c>
      <c r="V8" s="1036">
        <f>SUM(L8:T8)</f>
        <v>26834.480108448261</v>
      </c>
      <c r="W8" s="1036">
        <f>U8+J8+K8</f>
        <v>14927.859921205167</v>
      </c>
      <c r="X8" s="245">
        <f>+V8+W8</f>
        <v>41762.340029653424</v>
      </c>
    </row>
    <row r="9" spans="1:28" x14ac:dyDescent="0.35">
      <c r="A9" s="1035" t="s">
        <v>309</v>
      </c>
      <c r="B9" s="1035" t="s">
        <v>307</v>
      </c>
      <c r="C9" s="1035" t="s">
        <v>824</v>
      </c>
      <c r="D9" s="1035" t="s">
        <v>825</v>
      </c>
      <c r="E9" s="1035"/>
      <c r="F9" s="1035"/>
      <c r="G9" s="1035"/>
      <c r="H9" s="1035"/>
      <c r="I9" s="1095">
        <f>SUM(J9:U9)</f>
        <v>34893.309823371404</v>
      </c>
      <c r="J9" s="1036">
        <f>(TariffRandValues2324Reworked!J9*'MSCOA - Tariff Structure'!$R$2)+TariffRandValues2324Reworked!J9</f>
        <v>5565.6495119639594</v>
      </c>
      <c r="K9" s="1036">
        <f>(TariffRandValues2324Reworked!K9*'MSCOA - Tariff Structure'!$R$2)+TariffRandValues2324Reworked!K9</f>
        <v>5575.1933522245417</v>
      </c>
      <c r="L9" s="1036">
        <f>(TariffRandValues2324Reworked!L9*'MSCOA - Tariff Structure'!$R$2)+TariffRandValues2324Reworked!L9</f>
        <v>3302.2256255280795</v>
      </c>
      <c r="M9" s="1036">
        <f>(TariffRandValues2324Reworked!M9*'MSCOA - Tariff Structure'!$R$2)+TariffRandValues2324Reworked!M9</f>
        <v>3059.6863831562191</v>
      </c>
      <c r="N9" s="1036">
        <f>(TariffRandValues2324Reworked!N9*'MSCOA - Tariff Structure'!$R$2)+TariffRandValues2324Reworked!N9</f>
        <v>2633.0634451997962</v>
      </c>
      <c r="O9" s="1036">
        <f>(TariffRandValues2324Reworked!O9*'MSCOA - Tariff Structure'!$R$2)+TariffRandValues2324Reworked!O9</f>
        <v>2833.0429473668701</v>
      </c>
      <c r="P9" s="1036">
        <f>(TariffRandValues2324Reworked!P9*'MSCOA - Tariff Structure'!$R$2)+TariffRandValues2324Reworked!P9</f>
        <v>2499.7437770884144</v>
      </c>
      <c r="Q9" s="1036">
        <f>(TariffRandValues2324Reworked!Q9*'MSCOA - Tariff Structure'!$R$2)+TariffRandValues2324Reworked!Q9</f>
        <v>2099.784772754268</v>
      </c>
      <c r="R9" s="1036">
        <f>('Tariff Rand Values 2024-25'!R9*'Tariff Rand Values 2024-25 Actu'!$T$2)+'Tariff Rand Values 2024-25'!R9</f>
        <v>2554.8654398243125</v>
      </c>
      <c r="S9" s="1036">
        <f>('Tariff Rand Values 2024-25'!S9*'Tariff Rand Values 2024-25 Actu'!$T$2)+'Tariff Rand Values 2024-25'!S9</f>
        <v>2554.8654398243125</v>
      </c>
      <c r="T9" s="1036">
        <f>('Tariff Rand Values 2024-25'!T9*'Tariff Rand Values 2024-25 Actu'!$T$2)+'Tariff Rand Values 2024-25'!T9</f>
        <v>1511.7546981208943</v>
      </c>
      <c r="U9" s="1036">
        <f>('Tariff Rand Values 2024-25'!U9*'Tariff Rand Values 2024-25 Actu'!$T$2)+'Tariff Rand Values 2024-25'!U9</f>
        <v>703.43443031973914</v>
      </c>
      <c r="V9" s="1036">
        <f>SUM(L9:T9)</f>
        <v>23049.032528863168</v>
      </c>
      <c r="W9" s="1036">
        <f>U9+J9+K9</f>
        <v>11844.27729450824</v>
      </c>
      <c r="X9" s="245">
        <f>+V9+W9</f>
        <v>34893.309823371412</v>
      </c>
    </row>
    <row r="10" spans="1:28" ht="15" thickBot="1" x14ac:dyDescent="0.4">
      <c r="A10" s="247" t="s">
        <v>1484</v>
      </c>
      <c r="I10" s="1094">
        <f>SUM(I11:I12)</f>
        <v>1472167870.82164</v>
      </c>
      <c r="J10" s="602"/>
      <c r="K10" s="602"/>
      <c r="L10" s="602"/>
      <c r="M10" s="602"/>
      <c r="N10" s="602"/>
      <c r="O10" s="602"/>
      <c r="P10" s="602"/>
      <c r="Q10" s="602"/>
      <c r="R10" s="602"/>
      <c r="S10" s="602"/>
      <c r="T10" s="602"/>
      <c r="U10" s="602"/>
      <c r="V10" s="603">
        <f>V9+V8+V7</f>
        <v>51611.145753287521</v>
      </c>
      <c r="W10" s="603">
        <f>W9+W8+W7</f>
        <v>27503.653042830843</v>
      </c>
      <c r="X10" s="245">
        <f>+X9+X8</f>
        <v>76655.649853024835</v>
      </c>
    </row>
    <row r="11" spans="1:28" ht="15" thickTop="1" x14ac:dyDescent="0.35">
      <c r="A11" s="1035" t="s">
        <v>305</v>
      </c>
      <c r="B11" s="1035" t="s">
        <v>252</v>
      </c>
      <c r="C11" s="1035" t="s">
        <v>1042</v>
      </c>
      <c r="D11" s="1035" t="s">
        <v>1045</v>
      </c>
      <c r="E11" s="1035" t="s">
        <v>1042</v>
      </c>
      <c r="F11" s="1035" t="s">
        <v>1045</v>
      </c>
      <c r="G11" s="1035"/>
      <c r="H11" s="1035"/>
      <c r="I11" s="1095">
        <f>SUM(J11:U11)</f>
        <v>1120205765.7288551</v>
      </c>
      <c r="J11" s="1036">
        <f>(TariffRandValues2324Reworked!J11*'MSCOA - Tariff Structure'!$R$2)+TariffRandValues2324Reworked!J11</f>
        <v>125161855.04487543</v>
      </c>
      <c r="K11" s="1036">
        <f>(TariffRandValues2324Reworked!K11*'MSCOA - Tariff Structure'!$R$2)+TariffRandValues2324Reworked!K11</f>
        <v>122557547.09609145</v>
      </c>
      <c r="L11" s="1036">
        <f>(TariffRandValues2324Reworked!L11*'MSCOA - Tariff Structure'!$R$2)+TariffRandValues2324Reworked!L11</f>
        <v>114287409.01603594</v>
      </c>
      <c r="M11" s="1036">
        <f>(TariffRandValues2324Reworked!M11*'MSCOA - Tariff Structure'!$R$2)+TariffRandValues2324Reworked!M11</f>
        <v>114969156.33104527</v>
      </c>
      <c r="N11" s="1036">
        <f>(TariffRandValues2324Reworked!N11*'MSCOA - Tariff Structure'!$R$2)+TariffRandValues2324Reworked!N11</f>
        <v>115332150.1966051</v>
      </c>
      <c r="O11" s="1036">
        <f>(TariffRandValues2324Reworked!O11*'MSCOA - Tariff Structure'!$R$2)+TariffRandValues2324Reworked!O11</f>
        <v>112681175.94252259</v>
      </c>
      <c r="P11" s="1036">
        <f>(TariffRandValues2324Reworked!P11*'MSCOA - Tariff Structure'!$R$2)+TariffRandValues2324Reworked!P11</f>
        <v>107679506.65552109</v>
      </c>
      <c r="Q11" s="1036">
        <f>(TariffRandValues2324Reworked!Q11*'MSCOA - Tariff Structure'!$R$2)+TariffRandValues2324Reworked!Q11</f>
        <v>51809980.809560753</v>
      </c>
      <c r="R11" s="1036">
        <f>('Tariff Rand Values 2024-25'!R11*'Tariff Rand Values 2024-25 Actu'!$T$2)+'Tariff Rand Values 2024-25'!R11</f>
        <v>39842538.241162889</v>
      </c>
      <c r="S11" s="1036">
        <f>('Tariff Rand Values 2024-25'!S11*'Tariff Rand Values 2024-25 Actu'!$T$2)+'Tariff Rand Values 2024-25'!S11</f>
        <v>38786877.981044382</v>
      </c>
      <c r="T11" s="1036">
        <f>('Tariff Rand Values 2024-25'!T11*'Tariff Rand Values 2024-25 Actu'!$T$2)+'Tariff Rand Values 2024-25'!T11</f>
        <v>89425400.804218352</v>
      </c>
      <c r="U11" s="1036">
        <f>('Tariff Rand Values 2024-25'!U11*'Tariff Rand Values 2024-25 Actu'!$T$2)+'Tariff Rand Values 2024-25'!U11</f>
        <v>87672167.61017184</v>
      </c>
      <c r="V11" s="1036">
        <f>SUM(L11:T11)</f>
        <v>784814195.97771645</v>
      </c>
      <c r="W11" s="1036">
        <f>U11+J11+K11</f>
        <v>335391569.75113869</v>
      </c>
    </row>
    <row r="12" spans="1:28" x14ac:dyDescent="0.35">
      <c r="A12" s="1035" t="s">
        <v>305</v>
      </c>
      <c r="B12" s="1035" t="s">
        <v>252</v>
      </c>
      <c r="C12" s="1035" t="s">
        <v>1042</v>
      </c>
      <c r="D12" s="1035" t="s">
        <v>1045</v>
      </c>
      <c r="E12" s="1035" t="s">
        <v>1042</v>
      </c>
      <c r="F12" s="1035" t="s">
        <v>1045</v>
      </c>
      <c r="G12" s="1035"/>
      <c r="H12" s="1035"/>
      <c r="I12" s="1095">
        <f>SUM(J12:U12)</f>
        <v>351962105.092785</v>
      </c>
      <c r="J12" s="1036">
        <f>(TariffRandValues2324Reworked!J12*'MSCOA - Tariff Structure'!$R$2)+TariffRandValues2324Reworked!J12</f>
        <v>35915113.733526677</v>
      </c>
      <c r="K12" s="1036">
        <f>(TariffRandValues2324Reworked!K12*'MSCOA - Tariff Structure'!$R$2)+TariffRandValues2324Reworked!K12</f>
        <v>35382837.273111686</v>
      </c>
      <c r="L12" s="1036">
        <f>(TariffRandValues2324Reworked!L12*'MSCOA - Tariff Structure'!$R$2)+TariffRandValues2324Reworked!L12</f>
        <v>27708221.933984466</v>
      </c>
      <c r="M12" s="1036">
        <f>(TariffRandValues2324Reworked!M12*'MSCOA - Tariff Structure'!$R$2)+TariffRandValues2324Reworked!M12</f>
        <v>26672677.5049178</v>
      </c>
      <c r="N12" s="1036">
        <f>(TariffRandValues2324Reworked!N12*'MSCOA - Tariff Structure'!$R$2)+TariffRandValues2324Reworked!N12</f>
        <v>26716578.788559303</v>
      </c>
      <c r="O12" s="1036">
        <f>(TariffRandValues2324Reworked!O12*'MSCOA - Tariff Structure'!$R$2)+TariffRandValues2324Reworked!O12</f>
        <v>26422406.853884809</v>
      </c>
      <c r="P12" s="1036">
        <f>(TariffRandValues2324Reworked!P12*'MSCOA - Tariff Structure'!$R$2)+TariffRandValues2324Reworked!P12</f>
        <v>25015681.436713412</v>
      </c>
      <c r="Q12" s="1036">
        <f>(TariffRandValues2324Reworked!Q12*'MSCOA - Tariff Structure'!$R$2)+TariffRandValues2324Reworked!Q12</f>
        <v>23606956.396778096</v>
      </c>
      <c r="R12" s="1036">
        <f>('Tariff Rand Values 2024-25'!R12*'Tariff Rand Values 2024-25 Actu'!$T$2)+'Tariff Rand Values 2024-25'!R12</f>
        <v>20359392.41860671</v>
      </c>
      <c r="S12" s="1036">
        <f>('Tariff Rand Values 2024-25'!S12*'Tariff Rand Values 2024-25 Actu'!$T$2)+'Tariff Rand Values 2024-25'!S12</f>
        <v>21837140.428082429</v>
      </c>
      <c r="T12" s="1036">
        <f>('Tariff Rand Values 2024-25'!T12*'Tariff Rand Values 2024-25 Actu'!$T$2)+'Tariff Rand Values 2024-25'!T12</f>
        <v>25206523.768987637</v>
      </c>
      <c r="U12" s="1036">
        <f>('Tariff Rand Values 2024-25'!U12*'Tariff Rand Values 2024-25 Actu'!$T$2)+'Tariff Rand Values 2024-25'!U12</f>
        <v>57118574.55563201</v>
      </c>
      <c r="V12" s="1036">
        <f>SUM(L12:T12)</f>
        <v>223545579.53051466</v>
      </c>
      <c r="W12" s="1036">
        <f>U12+J12+K12</f>
        <v>128416525.56227037</v>
      </c>
    </row>
    <row r="13" spans="1:28" ht="15" thickBot="1" x14ac:dyDescent="0.4">
      <c r="A13" s="247" t="s">
        <v>1483</v>
      </c>
      <c r="I13" s="1094">
        <f>SUM(I14:I15)</f>
        <v>21070082.766920481</v>
      </c>
      <c r="J13" s="603"/>
      <c r="K13" s="603"/>
      <c r="L13" s="603"/>
      <c r="M13" s="638"/>
      <c r="N13" s="638"/>
      <c r="O13" s="638"/>
      <c r="P13" s="603"/>
      <c r="Q13" s="603"/>
      <c r="R13" s="603"/>
      <c r="S13" s="603"/>
      <c r="T13" s="603"/>
      <c r="U13" s="603"/>
      <c r="V13" s="603">
        <f>+V12+V11</f>
        <v>1008359775.5082312</v>
      </c>
      <c r="W13" s="603">
        <f>+W12+W11</f>
        <v>463808095.31340909</v>
      </c>
    </row>
    <row r="14" spans="1:28" ht="15" thickTop="1" x14ac:dyDescent="0.35">
      <c r="A14" s="1035" t="s">
        <v>305</v>
      </c>
      <c r="B14" s="1035" t="s">
        <v>252</v>
      </c>
      <c r="C14" s="1035" t="s">
        <v>1042</v>
      </c>
      <c r="D14" s="1035" t="s">
        <v>1045</v>
      </c>
      <c r="E14" s="1035"/>
      <c r="F14" s="1035"/>
      <c r="G14" s="1035"/>
      <c r="H14" s="1035"/>
      <c r="I14" s="1095">
        <f>SUM(J14:U14)</f>
        <v>5167925.0124168647</v>
      </c>
      <c r="J14" s="1036">
        <f>(TariffRandValues2324Reworked!J14*'MSCOA - Tariff Structure'!$R$2)+TariffRandValues2324Reworked!J14</f>
        <v>602982.43253145972</v>
      </c>
      <c r="K14" s="1036">
        <f>(TariffRandValues2324Reworked!K14*'MSCOA - Tariff Structure'!$R$2)+TariffRandValues2324Reworked!K14</f>
        <v>602982.43253145972</v>
      </c>
      <c r="L14" s="1036">
        <f>(TariffRandValues2324Reworked!L14*'MSCOA - Tariff Structure'!$R$2)+TariffRandValues2324Reworked!L14</f>
        <v>446060.3554046941</v>
      </c>
      <c r="M14" s="1036">
        <f>(TariffRandValues2324Reworked!M14*'MSCOA - Tariff Structure'!$R$2)+TariffRandValues2324Reworked!M14</f>
        <v>446060.3554046941</v>
      </c>
      <c r="N14" s="1036">
        <f>(TariffRandValues2324Reworked!N14*'MSCOA - Tariff Structure'!$R$2)+TariffRandValues2324Reworked!N14</f>
        <v>446060.3554046941</v>
      </c>
      <c r="O14" s="1036">
        <f>(TariffRandValues2324Reworked!O14*'MSCOA - Tariff Structure'!$R$2)+TariffRandValues2324Reworked!O14</f>
        <v>428446.44595968479</v>
      </c>
      <c r="P14" s="1036">
        <f>(TariffRandValues2324Reworked!P14*'MSCOA - Tariff Structure'!$R$2)+TariffRandValues2324Reworked!P14</f>
        <v>428446.44595968479</v>
      </c>
      <c r="Q14" s="1036">
        <f>(TariffRandValues2324Reworked!Q14*'MSCOA - Tariff Structure'!$R$2)+TariffRandValues2324Reworked!Q14</f>
        <v>423685.929893466</v>
      </c>
      <c r="R14" s="1036">
        <f>('Tariff Rand Values 2024-25'!R14*'Tariff Rand Values 2024-25 Actu'!$T$2)+'Tariff Rand Values 2024-25'!R14</f>
        <v>324771.4474417381</v>
      </c>
      <c r="S14" s="1036">
        <f>('Tariff Rand Values 2024-25'!S14*'Tariff Rand Values 2024-25 Actu'!$T$2)+'Tariff Rand Values 2024-25'!S14</f>
        <v>324771.4474417381</v>
      </c>
      <c r="T14" s="1036">
        <f>('Tariff Rand Values 2024-25'!T14*'Tariff Rand Values 2024-25 Actu'!$T$2)+'Tariff Rand Values 2024-25'!T14</f>
        <v>310174.97789379483</v>
      </c>
      <c r="U14" s="1036">
        <f>('Tariff Rand Values 2024-25'!U14*'Tariff Rand Values 2024-25 Actu'!$T$2)+'Tariff Rand Values 2024-25'!U14</f>
        <v>383482.38654975628</v>
      </c>
      <c r="V14" s="1036">
        <f>SUM(L14:T14)</f>
        <v>3578477.7608041894</v>
      </c>
      <c r="W14" s="1036">
        <f>U14+J14+K14</f>
        <v>1589447.2516126758</v>
      </c>
    </row>
    <row r="15" spans="1:28" x14ac:dyDescent="0.35">
      <c r="A15" s="1035" t="s">
        <v>305</v>
      </c>
      <c r="B15" s="1035" t="s">
        <v>252</v>
      </c>
      <c r="C15" s="1035" t="s">
        <v>1042</v>
      </c>
      <c r="D15" s="1035" t="s">
        <v>1045</v>
      </c>
      <c r="E15" s="1035"/>
      <c r="F15" s="1035"/>
      <c r="G15" s="1035"/>
      <c r="H15" s="1035"/>
      <c r="I15" s="1095">
        <f>SUM(J15:U15)</f>
        <v>15902157.754503615</v>
      </c>
      <c r="J15" s="1036">
        <f>(TariffRandValues2324Reworked!J15*'MSCOA - Tariff Structure'!$R$2)+TariffRandValues2324Reworked!J15</f>
        <v>1902195.2352659865</v>
      </c>
      <c r="K15" s="1036">
        <f>(TariffRandValues2324Reworked!K15*'MSCOA - Tariff Structure'!$R$2)+TariffRandValues2324Reworked!K15</f>
        <v>1041608.6656407046</v>
      </c>
      <c r="L15" s="1036">
        <f>(TariffRandValues2324Reworked!L15*'MSCOA - Tariff Structure'!$R$2)+TariffRandValues2324Reworked!L15</f>
        <v>1976100.2223863828</v>
      </c>
      <c r="M15" s="1036">
        <f>(TariffRandValues2324Reworked!M15*'MSCOA - Tariff Structure'!$R$2)+TariffRandValues2324Reworked!M15</f>
        <v>1960415.0188341571</v>
      </c>
      <c r="N15" s="1036">
        <f>(TariffRandValues2324Reworked!N15*'MSCOA - Tariff Structure'!$R$2)+TariffRandValues2324Reworked!N15</f>
        <v>1539165.7763419773</v>
      </c>
      <c r="O15" s="1036">
        <f>(TariffRandValues2324Reworked!O15*'MSCOA - Tariff Structure'!$R$2)+TariffRandValues2324Reworked!O15</f>
        <v>1643235.5053475283</v>
      </c>
      <c r="P15" s="1036">
        <f>(TariffRandValues2324Reworked!P15*'MSCOA - Tariff Structure'!$R$2)+TariffRandValues2324Reworked!P15</f>
        <v>1869039.2335032488</v>
      </c>
      <c r="Q15" s="1036">
        <f>(TariffRandValues2324Reworked!Q15*'MSCOA - Tariff Structure'!$R$2)+TariffRandValues2324Reworked!Q15</f>
        <v>808470.56210909598</v>
      </c>
      <c r="R15" s="1036">
        <f>('Tariff Rand Values 2024-25'!R15*'Tariff Rand Values 2024-25 Actu'!$T$2)+'Tariff Rand Values 2024-25'!R15</f>
        <v>783784.73727041017</v>
      </c>
      <c r="S15" s="1036">
        <f>('Tariff Rand Values 2024-25'!S15*'Tariff Rand Values 2024-25 Actu'!$T$2)+'Tariff Rand Values 2024-25'!S15</f>
        <v>771507.46783844638</v>
      </c>
      <c r="T15" s="1036">
        <f>('Tariff Rand Values 2024-25'!T15*'Tariff Rand Values 2024-25 Actu'!$T$2)+'Tariff Rand Values 2024-25'!T15</f>
        <v>528588.00457378733</v>
      </c>
      <c r="U15" s="1036">
        <f>('Tariff Rand Values 2024-25'!U15*'Tariff Rand Values 2024-25 Actu'!$T$2)+'Tariff Rand Values 2024-25'!U15</f>
        <v>1078047.3253918928</v>
      </c>
      <c r="V15" s="1036">
        <f>SUM(L15:T15)</f>
        <v>11880306.528205033</v>
      </c>
      <c r="W15" s="1036">
        <f>U15+J15+K15</f>
        <v>4021851.2262985837</v>
      </c>
    </row>
    <row r="16" spans="1:28" ht="15" thickBot="1" x14ac:dyDescent="0.4">
      <c r="A16" s="247" t="s">
        <v>537</v>
      </c>
      <c r="I16" s="1094">
        <f>SUM(I17:I20)</f>
        <v>771152.88492563937</v>
      </c>
      <c r="J16" s="602"/>
      <c r="K16" s="602"/>
      <c r="L16" s="602"/>
      <c r="M16" s="602"/>
      <c r="N16" s="602"/>
      <c r="O16" s="602"/>
      <c r="P16" s="602"/>
      <c r="Q16" s="602"/>
      <c r="R16" s="602"/>
      <c r="S16" s="602"/>
      <c r="T16" s="602"/>
      <c r="U16" s="602"/>
      <c r="V16" s="603">
        <f>+V15+V14</f>
        <v>15458784.289009223</v>
      </c>
      <c r="W16" s="603">
        <f>+W15+W14</f>
        <v>5611298.47791126</v>
      </c>
    </row>
    <row r="17" spans="1:26" ht="15" thickTop="1" x14ac:dyDescent="0.35">
      <c r="A17" s="1040" t="s">
        <v>371</v>
      </c>
      <c r="B17" s="1040" t="s">
        <v>371</v>
      </c>
      <c r="C17" s="1040" t="s">
        <v>838</v>
      </c>
      <c r="D17" s="1040" t="s">
        <v>838</v>
      </c>
      <c r="E17" s="1040" t="s">
        <v>839</v>
      </c>
      <c r="F17" s="1040" t="s">
        <v>839</v>
      </c>
      <c r="G17" s="1040"/>
      <c r="H17" s="1040"/>
      <c r="I17" s="1041">
        <f>SUM(J17:U17)</f>
        <v>50563.19999999999</v>
      </c>
      <c r="J17" s="1041">
        <f t="shared" ref="J17:U17" si="0">263.35*16</f>
        <v>4213.6000000000004</v>
      </c>
      <c r="K17" s="1041">
        <f t="shared" si="0"/>
        <v>4213.6000000000004</v>
      </c>
      <c r="L17" s="1041">
        <f t="shared" si="0"/>
        <v>4213.6000000000004</v>
      </c>
      <c r="M17" s="1041">
        <f t="shared" si="0"/>
        <v>4213.6000000000004</v>
      </c>
      <c r="N17" s="1041">
        <f t="shared" si="0"/>
        <v>4213.6000000000004</v>
      </c>
      <c r="O17" s="1041">
        <f t="shared" si="0"/>
        <v>4213.6000000000004</v>
      </c>
      <c r="P17" s="1041">
        <f t="shared" si="0"/>
        <v>4213.6000000000004</v>
      </c>
      <c r="Q17" s="1041">
        <f t="shared" si="0"/>
        <v>4213.6000000000004</v>
      </c>
      <c r="R17" s="1041">
        <f t="shared" si="0"/>
        <v>4213.6000000000004</v>
      </c>
      <c r="S17" s="1041">
        <f t="shared" si="0"/>
        <v>4213.6000000000004</v>
      </c>
      <c r="T17" s="1041">
        <f t="shared" si="0"/>
        <v>4213.6000000000004</v>
      </c>
      <c r="U17" s="1041">
        <f t="shared" si="0"/>
        <v>4213.6000000000004</v>
      </c>
      <c r="V17" s="1041">
        <f>SUM(L17:T17)</f>
        <v>37922.399999999994</v>
      </c>
      <c r="W17" s="1041">
        <f>U17+J17+K17</f>
        <v>12640.800000000001</v>
      </c>
      <c r="X17" s="245">
        <f>+V21+W21</f>
        <v>771152.88492563937</v>
      </c>
    </row>
    <row r="18" spans="1:26" x14ac:dyDescent="0.35">
      <c r="A18" s="1038" t="s">
        <v>381</v>
      </c>
      <c r="B18" s="1038" t="s">
        <v>375</v>
      </c>
      <c r="C18" s="1038" t="s">
        <v>834</v>
      </c>
      <c r="D18" s="1038" t="s">
        <v>836</v>
      </c>
      <c r="E18" s="1035" t="s">
        <v>827</v>
      </c>
      <c r="F18" s="1035" t="s">
        <v>830</v>
      </c>
      <c r="G18" s="1035"/>
      <c r="H18" s="1035"/>
      <c r="I18" s="1095">
        <f>SUM(J18:U18)</f>
        <v>175200.12370746327</v>
      </c>
      <c r="J18" s="1036">
        <v>35973.79</v>
      </c>
      <c r="K18" s="1036">
        <v>28826.400000000001</v>
      </c>
      <c r="L18" s="1036">
        <v>10774.890000000001</v>
      </c>
      <c r="M18" s="1036">
        <v>11357.69</v>
      </c>
      <c r="N18" s="1036">
        <v>9974.44</v>
      </c>
      <c r="O18" s="1036">
        <v>10944.26</v>
      </c>
      <c r="P18" s="1036">
        <v>12015.869999999999</v>
      </c>
      <c r="Q18" s="1036">
        <f>'[1]MMM Main Sheet'!$N$266</f>
        <v>11731.039999999999</v>
      </c>
      <c r="R18" s="1036">
        <f>('Tariff Rand Values 2024-25'!R18*'Tariff Rand Values 2024-25 Actu'!$T$2)+'Tariff Rand Values 2024-25'!R18</f>
        <v>5320.3360425431729</v>
      </c>
      <c r="S18" s="1036">
        <f>('Tariff Rand Values 2024-25'!S18*'Tariff Rand Values 2024-25 Actu'!$T$2)+'Tariff Rand Values 2024-25'!S18</f>
        <v>5344.171549453883</v>
      </c>
      <c r="T18" s="1036">
        <f>('Tariff Rand Values 2024-25'!T18*'Tariff Rand Values 2024-25 Actu'!$T$2)+'Tariff Rand Values 2024-25'!T18</f>
        <v>6193.4682956933839</v>
      </c>
      <c r="U18" s="1036">
        <f>('Tariff Rand Values 2024-25'!U18*'Tariff Rand Values 2024-25 Actu'!$T$2)+'Tariff Rand Values 2024-25'!U18</f>
        <v>26743.767819772787</v>
      </c>
      <c r="V18" s="1036">
        <f>SUM(L18:T18)</f>
        <v>83656.16588769044</v>
      </c>
      <c r="W18" s="1036">
        <f>U18+J18+K18</f>
        <v>91543.957819772797</v>
      </c>
    </row>
    <row r="19" spans="1:26" x14ac:dyDescent="0.35">
      <c r="A19" s="1038" t="s">
        <v>383</v>
      </c>
      <c r="B19" s="1038" t="s">
        <v>377</v>
      </c>
      <c r="C19" s="1038" t="s">
        <v>832</v>
      </c>
      <c r="D19" s="1038" t="s">
        <v>835</v>
      </c>
      <c r="E19" s="1035" t="s">
        <v>826</v>
      </c>
      <c r="F19" s="1035" t="s">
        <v>829</v>
      </c>
      <c r="G19" s="1035"/>
      <c r="H19" s="1035"/>
      <c r="I19" s="1095">
        <f>SUM(J19:U19)</f>
        <v>254729.76326651275</v>
      </c>
      <c r="J19" s="1036">
        <v>41994.2</v>
      </c>
      <c r="K19" s="1036">
        <v>35169.31</v>
      </c>
      <c r="L19" s="1036">
        <v>19457.27</v>
      </c>
      <c r="M19" s="1036">
        <v>18870.96</v>
      </c>
      <c r="N19" s="1036">
        <v>17483.990000000002</v>
      </c>
      <c r="O19" s="1036">
        <v>21090.31</v>
      </c>
      <c r="P19" s="1036">
        <v>22619.77</v>
      </c>
      <c r="Q19" s="1036">
        <f>'[1]MMM Main Sheet'!$Q$266</f>
        <v>21552.400000000001</v>
      </c>
      <c r="R19" s="1036">
        <f>('Tariff Rand Values 2024-25'!R19*'Tariff Rand Values 2024-25 Actu'!$T$2)+'Tariff Rand Values 2024-25'!R19</f>
        <v>9314.9170368237592</v>
      </c>
      <c r="S19" s="1036">
        <f>('Tariff Rand Values 2024-25'!S19*'Tariff Rand Values 2024-25 Actu'!$T$2)+'Tariff Rand Values 2024-25'!S19</f>
        <v>8770.6059756315826</v>
      </c>
      <c r="T19" s="1036">
        <f>('Tariff Rand Values 2024-25'!T19*'Tariff Rand Values 2024-25 Actu'!$T$2)+'Tariff Rand Values 2024-25'!T19</f>
        <v>11489.338579460093</v>
      </c>
      <c r="U19" s="1036">
        <f>('Tariff Rand Values 2024-25'!U19*'Tariff Rand Values 2024-25 Actu'!$T$2)+'Tariff Rand Values 2024-25'!U19</f>
        <v>26916.691674597321</v>
      </c>
      <c r="V19" s="1036">
        <f>SUM(L19:T19)</f>
        <v>150649.56159191547</v>
      </c>
      <c r="W19" s="1036">
        <f>U19+J19+K19</f>
        <v>104080.20167459731</v>
      </c>
    </row>
    <row r="20" spans="1:26" x14ac:dyDescent="0.35">
      <c r="A20" s="1038" t="s">
        <v>379</v>
      </c>
      <c r="B20" s="1038" t="s">
        <v>373</v>
      </c>
      <c r="C20" s="1038" t="s">
        <v>833</v>
      </c>
      <c r="D20" s="1038" t="s">
        <v>837</v>
      </c>
      <c r="E20" s="1035" t="s">
        <v>828</v>
      </c>
      <c r="F20" s="1035" t="s">
        <v>831</v>
      </c>
      <c r="G20" s="1035"/>
      <c r="H20" s="1035"/>
      <c r="I20" s="1095">
        <f>SUM(J20:U20)</f>
        <v>290659.79795166338</v>
      </c>
      <c r="J20" s="1036">
        <v>42566.31</v>
      </c>
      <c r="K20" s="1036">
        <v>40247.379999999997</v>
      </c>
      <c r="L20" s="1036">
        <v>21188.47</v>
      </c>
      <c r="M20" s="1036">
        <v>18998.350000000002</v>
      </c>
      <c r="N20" s="1036">
        <v>20382.550000000003</v>
      </c>
      <c r="O20" s="1036">
        <v>28486.32</v>
      </c>
      <c r="P20" s="1036">
        <v>27387.53</v>
      </c>
      <c r="Q20" s="1036">
        <f>'[1]MMM Main Sheet'!$T$266</f>
        <v>26325.88</v>
      </c>
      <c r="R20" s="1036">
        <f>('Tariff Rand Values 2024-25'!R20*'Tariff Rand Values 2024-25 Actu'!$T$2)+'Tariff Rand Values 2024-25'!R20</f>
        <v>11156.719748616097</v>
      </c>
      <c r="S20" s="1036">
        <f>('Tariff Rand Values 2024-25'!S20*'Tariff Rand Values 2024-25 Actu'!$T$2)+'Tariff Rand Values 2024-25'!S20</f>
        <v>10744.993115900263</v>
      </c>
      <c r="T20" s="1036">
        <f>('Tariff Rand Values 2024-25'!T20*'Tariff Rand Values 2024-25 Actu'!$T$2)+'Tariff Rand Values 2024-25'!T20</f>
        <v>12344.652328255221</v>
      </c>
      <c r="U20" s="1036">
        <f>('Tariff Rand Values 2024-25'!U20*'Tariff Rand Values 2024-25 Actu'!$T$2)+'Tariff Rand Values 2024-25'!U20</f>
        <v>30830.642758891801</v>
      </c>
      <c r="V20" s="1036">
        <f>SUM(L20:T20)</f>
        <v>177015.46519277157</v>
      </c>
      <c r="W20" s="1036">
        <f>U20+J20+K20</f>
        <v>113644.3327588918</v>
      </c>
    </row>
    <row r="21" spans="1:26" ht="15" thickBot="1" x14ac:dyDescent="0.4">
      <c r="A21" s="247" t="s">
        <v>536</v>
      </c>
      <c r="B21" s="247"/>
      <c r="C21" s="247"/>
      <c r="D21" s="247"/>
      <c r="E21" s="247"/>
      <c r="F21" s="247"/>
      <c r="G21" s="247"/>
      <c r="H21" s="247"/>
      <c r="I21" s="1094">
        <f>SUM(I22:I25)</f>
        <v>33500876.063628927</v>
      </c>
      <c r="J21" s="1096"/>
      <c r="K21" s="1096"/>
      <c r="L21" s="1096"/>
      <c r="M21" s="1096"/>
      <c r="N21" s="1096"/>
      <c r="O21" s="1096"/>
      <c r="P21" s="1096"/>
      <c r="Q21" s="1096"/>
      <c r="R21" s="1096"/>
      <c r="S21" s="1096"/>
      <c r="T21" s="1096"/>
      <c r="U21" s="1096"/>
      <c r="V21" s="603">
        <f>+V20+V19+V18+V17</f>
        <v>449243.59267237748</v>
      </c>
      <c r="W21" s="603">
        <f>+W20+W19+W18+W17</f>
        <v>321909.2922532619</v>
      </c>
    </row>
    <row r="22" spans="1:26" ht="15" thickTop="1" x14ac:dyDescent="0.35">
      <c r="A22" s="1040" t="s">
        <v>368</v>
      </c>
      <c r="B22" s="1040" t="s">
        <v>368</v>
      </c>
      <c r="C22" s="1040" t="s">
        <v>839</v>
      </c>
      <c r="D22" s="1040" t="s">
        <v>839</v>
      </c>
      <c r="E22" s="1040"/>
      <c r="F22" s="1040" t="s">
        <v>838</v>
      </c>
      <c r="G22" s="1040"/>
      <c r="H22" s="1040"/>
      <c r="I22" s="1041">
        <f>SUM(J22:U22)</f>
        <v>1638305.76</v>
      </c>
      <c r="J22" s="1041">
        <f t="shared" ref="J22:U22" si="1">750.14*182</f>
        <v>136525.48000000001</v>
      </c>
      <c r="K22" s="1041">
        <f t="shared" si="1"/>
        <v>136525.48000000001</v>
      </c>
      <c r="L22" s="1041">
        <f t="shared" si="1"/>
        <v>136525.48000000001</v>
      </c>
      <c r="M22" s="1041">
        <f t="shared" si="1"/>
        <v>136525.48000000001</v>
      </c>
      <c r="N22" s="1041">
        <f t="shared" si="1"/>
        <v>136525.48000000001</v>
      </c>
      <c r="O22" s="1041">
        <f t="shared" si="1"/>
        <v>136525.48000000001</v>
      </c>
      <c r="P22" s="1041">
        <f t="shared" si="1"/>
        <v>136525.48000000001</v>
      </c>
      <c r="Q22" s="1041">
        <f t="shared" si="1"/>
        <v>136525.48000000001</v>
      </c>
      <c r="R22" s="1041">
        <f t="shared" si="1"/>
        <v>136525.48000000001</v>
      </c>
      <c r="S22" s="1041">
        <f t="shared" si="1"/>
        <v>136525.48000000001</v>
      </c>
      <c r="T22" s="1041">
        <f t="shared" si="1"/>
        <v>136525.48000000001</v>
      </c>
      <c r="U22" s="1041">
        <f t="shared" si="1"/>
        <v>136525.48000000001</v>
      </c>
      <c r="V22" s="1041">
        <f>SUM(L22:T22)</f>
        <v>1228729.32</v>
      </c>
      <c r="W22" s="1041">
        <f>U22+J22+K22</f>
        <v>409576.44000000006</v>
      </c>
    </row>
    <row r="23" spans="1:26" x14ac:dyDescent="0.35">
      <c r="A23" s="1035" t="s">
        <v>364</v>
      </c>
      <c r="B23" s="1035" t="s">
        <v>358</v>
      </c>
      <c r="C23" s="1035" t="s">
        <v>827</v>
      </c>
      <c r="D23" s="1035" t="s">
        <v>830</v>
      </c>
      <c r="E23" s="1035"/>
      <c r="F23" s="1035" t="s">
        <v>836</v>
      </c>
      <c r="G23" s="1035"/>
      <c r="H23" s="1035"/>
      <c r="I23" s="1095">
        <f>SUM(J23:U23)</f>
        <v>8542776.07202667</v>
      </c>
      <c r="J23" s="1036">
        <v>1611436.51</v>
      </c>
      <c r="K23" s="1036">
        <v>1329386.03</v>
      </c>
      <c r="L23" s="1036">
        <v>557634.55999999994</v>
      </c>
      <c r="M23" s="1036">
        <v>636489.89</v>
      </c>
      <c r="N23" s="1036">
        <v>509831.02</v>
      </c>
      <c r="O23" s="1036">
        <v>385498.64999999997</v>
      </c>
      <c r="P23" s="1036">
        <v>488170.64999999997</v>
      </c>
      <c r="Q23" s="1036">
        <f>'[1]MMM Main Sheet'!$N$291</f>
        <v>498992.66</v>
      </c>
      <c r="R23" s="1036">
        <v>409719.81879146438</v>
      </c>
      <c r="S23" s="1036">
        <v>420009.13427468069</v>
      </c>
      <c r="T23" s="1036">
        <v>522521.13812133553</v>
      </c>
      <c r="U23" s="1036">
        <v>1173086.0108391894</v>
      </c>
      <c r="V23" s="1036">
        <f>SUM(L23:T23)</f>
        <v>4428867.5211874805</v>
      </c>
      <c r="W23" s="1036">
        <f>U23+J23+K23</f>
        <v>4113908.5508391894</v>
      </c>
    </row>
    <row r="24" spans="1:26" x14ac:dyDescent="0.35">
      <c r="A24" s="1035" t="s">
        <v>366</v>
      </c>
      <c r="B24" s="1035" t="s">
        <v>360</v>
      </c>
      <c r="C24" s="1035" t="s">
        <v>826</v>
      </c>
      <c r="D24" s="1035" t="s">
        <v>829</v>
      </c>
      <c r="E24" s="1035"/>
      <c r="F24" s="1035" t="s">
        <v>835</v>
      </c>
      <c r="G24" s="1035"/>
      <c r="H24" s="1035"/>
      <c r="I24" s="1095">
        <f>SUM(J24:U24)</f>
        <v>11947928.431085166</v>
      </c>
      <c r="J24" s="1036">
        <v>1748060.2</v>
      </c>
      <c r="K24" s="1036">
        <v>1511554.85</v>
      </c>
      <c r="L24" s="1036">
        <v>908142.29999999993</v>
      </c>
      <c r="M24" s="1036">
        <v>1002169.05</v>
      </c>
      <c r="N24" s="1036">
        <v>881480</v>
      </c>
      <c r="O24" s="1036">
        <v>703220.29</v>
      </c>
      <c r="P24" s="1036">
        <v>857700.67</v>
      </c>
      <c r="Q24" s="1036">
        <f>'[1]MMM Main Sheet'!$Q$291</f>
        <v>876785.53</v>
      </c>
      <c r="R24" s="1036">
        <v>638204.70115358219</v>
      </c>
      <c r="S24" s="1036">
        <v>640858.33066592191</v>
      </c>
      <c r="T24" s="1036">
        <v>758500.15981371899</v>
      </c>
      <c r="U24" s="1036">
        <v>1421252.3494519452</v>
      </c>
      <c r="V24" s="1036">
        <f>SUM(L24:T24)</f>
        <v>7267061.0316332234</v>
      </c>
      <c r="W24" s="1036">
        <f>U24+J24+K24</f>
        <v>4680867.399451945</v>
      </c>
      <c r="Z24" s="245">
        <f>3578510707.1-'MSCOA - Tariff Structure'!Q6</f>
        <v>272273904.16000032</v>
      </c>
    </row>
    <row r="25" spans="1:26" x14ac:dyDescent="0.35">
      <c r="A25" s="1035" t="s">
        <v>362</v>
      </c>
      <c r="B25" s="1035" t="s">
        <v>356</v>
      </c>
      <c r="C25" s="1035" t="s">
        <v>828</v>
      </c>
      <c r="D25" s="1035" t="s">
        <v>831</v>
      </c>
      <c r="E25" s="1035"/>
      <c r="F25" s="1035" t="s">
        <v>837</v>
      </c>
      <c r="G25" s="1035"/>
      <c r="H25" s="1035"/>
      <c r="I25" s="1095">
        <f>SUM(J25:U25)</f>
        <v>11371865.800517092</v>
      </c>
      <c r="J25" s="1036">
        <v>1561525.5599999998</v>
      </c>
      <c r="K25" s="1036">
        <v>1515359.22</v>
      </c>
      <c r="L25" s="1036">
        <v>882376.66</v>
      </c>
      <c r="M25" s="1036">
        <v>844004.62</v>
      </c>
      <c r="N25" s="1036">
        <v>843272.6</v>
      </c>
      <c r="O25" s="1036">
        <v>871053.62</v>
      </c>
      <c r="P25" s="1036">
        <v>853754.96</v>
      </c>
      <c r="Q25" s="1036">
        <f>'[1]MMM Main Sheet'!$T$291</f>
        <v>866382.53</v>
      </c>
      <c r="R25" s="1036">
        <v>622369.65518012282</v>
      </c>
      <c r="S25" s="1036">
        <v>636860.36500888679</v>
      </c>
      <c r="T25" s="1036">
        <v>678949.15897836059</v>
      </c>
      <c r="U25" s="1036">
        <v>1195956.8513497221</v>
      </c>
      <c r="V25" s="1036">
        <f>SUM(L25:T25)</f>
        <v>7099024.1691673705</v>
      </c>
      <c r="W25" s="1036">
        <f>U25+J25+K25</f>
        <v>4272841.6313497219</v>
      </c>
      <c r="Z25" s="245">
        <f>Z24/2</f>
        <v>136136952.08000016</v>
      </c>
    </row>
    <row r="26" spans="1:26" ht="15" thickBot="1" x14ac:dyDescent="0.4">
      <c r="A26" s="247" t="s">
        <v>545</v>
      </c>
      <c r="I26" s="1094">
        <f>+I27</f>
        <v>151981437.2533944</v>
      </c>
      <c r="J26" s="602"/>
      <c r="K26" s="602"/>
      <c r="L26" s="602"/>
      <c r="M26" s="602"/>
      <c r="N26" s="602"/>
      <c r="O26" s="602"/>
      <c r="P26" s="602"/>
      <c r="Q26" s="602"/>
      <c r="R26" s="602"/>
      <c r="S26" s="602"/>
      <c r="T26" s="602"/>
      <c r="U26" s="602"/>
      <c r="V26" s="603">
        <f>+V25+V24+V23+V22</f>
        <v>20023682.041988075</v>
      </c>
      <c r="W26" s="603">
        <f>+W25+W24+W23+W22</f>
        <v>13477194.021640856</v>
      </c>
      <c r="X26" s="245">
        <f>+V26+W26</f>
        <v>33500876.063628931</v>
      </c>
    </row>
    <row r="27" spans="1:26" ht="15" thickTop="1" x14ac:dyDescent="0.35">
      <c r="A27" s="1038" t="s">
        <v>313</v>
      </c>
      <c r="B27" s="1038" t="s">
        <v>311</v>
      </c>
      <c r="C27" s="1038" t="s">
        <v>510</v>
      </c>
      <c r="D27" s="1038" t="s">
        <v>514</v>
      </c>
      <c r="E27" s="1035" t="s">
        <v>510</v>
      </c>
      <c r="F27" s="1035" t="s">
        <v>514</v>
      </c>
      <c r="G27" s="1035"/>
      <c r="H27" s="1035"/>
      <c r="I27" s="1095">
        <f>SUM(J27:U27)</f>
        <v>151981437.2533944</v>
      </c>
      <c r="J27" s="1037">
        <v>14169621.143415123</v>
      </c>
      <c r="K27" s="1037">
        <v>13864407.466930129</v>
      </c>
      <c r="L27" s="1037">
        <v>12810679.613274824</v>
      </c>
      <c r="M27" s="1037">
        <v>13635935.656002309</v>
      </c>
      <c r="N27" s="1037">
        <v>13319241.363631163</v>
      </c>
      <c r="O27" s="1037">
        <v>14435000.461211598</v>
      </c>
      <c r="P27" s="1037">
        <v>12407957.797246018</v>
      </c>
      <c r="Q27" s="1037">
        <v>13247418.235185169</v>
      </c>
      <c r="R27" s="1036">
        <v>10074328.783236446</v>
      </c>
      <c r="S27" s="1036">
        <v>10464065.59017917</v>
      </c>
      <c r="T27" s="1036">
        <v>11363920.019224841</v>
      </c>
      <c r="U27" s="1036">
        <v>12188861.123857599</v>
      </c>
      <c r="V27" s="1036">
        <f>SUM(L27:T27)</f>
        <v>111758547.51919155</v>
      </c>
      <c r="W27" s="1036">
        <f>U27+J27+K27</f>
        <v>40222889.734202847</v>
      </c>
    </row>
    <row r="28" spans="1:26" ht="15" thickBot="1" x14ac:dyDescent="0.4">
      <c r="A28" s="247" t="s">
        <v>546</v>
      </c>
      <c r="I28" s="1094">
        <f>+I29</f>
        <v>41300463.58961644</v>
      </c>
      <c r="J28" s="602"/>
      <c r="K28" s="602"/>
      <c r="L28" s="602"/>
      <c r="M28" s="602"/>
      <c r="N28" s="602"/>
      <c r="O28" s="602"/>
      <c r="P28" s="602"/>
      <c r="Q28" s="602"/>
      <c r="R28" s="602"/>
      <c r="S28" s="602"/>
      <c r="T28" s="602"/>
      <c r="U28" s="602"/>
      <c r="V28" s="603">
        <f>+V27</f>
        <v>111758547.51919155</v>
      </c>
      <c r="W28" s="603">
        <f>+W27</f>
        <v>40222889.734202847</v>
      </c>
      <c r="X28" s="245">
        <f>+W28+V28</f>
        <v>151981437.2533944</v>
      </c>
    </row>
    <row r="29" spans="1:26" ht="15" thickTop="1" x14ac:dyDescent="0.35">
      <c r="A29" s="1038" t="s">
        <v>313</v>
      </c>
      <c r="B29" s="1038" t="s">
        <v>311</v>
      </c>
      <c r="C29" s="1038" t="s">
        <v>510</v>
      </c>
      <c r="D29" s="1038" t="s">
        <v>514</v>
      </c>
      <c r="E29" s="1035" t="s">
        <v>510</v>
      </c>
      <c r="F29" s="1035" t="s">
        <v>514</v>
      </c>
      <c r="G29" s="1035"/>
      <c r="H29" s="1035"/>
      <c r="I29" s="1095">
        <f>SUM(J29:U29)</f>
        <v>41300463.58961644</v>
      </c>
      <c r="J29" s="1036">
        <v>5646174.5499999998</v>
      </c>
      <c r="K29" s="1036">
        <v>5058796.7500000009</v>
      </c>
      <c r="L29" s="1036">
        <v>3464566.02</v>
      </c>
      <c r="M29" s="1036">
        <v>3742277.8800000004</v>
      </c>
      <c r="N29" s="1036">
        <v>3105146.4000000004</v>
      </c>
      <c r="O29" s="1036">
        <v>3589461.8600000003</v>
      </c>
      <c r="P29" s="1036">
        <v>3400662.33</v>
      </c>
      <c r="Q29" s="1036">
        <v>3527328.6900000004</v>
      </c>
      <c r="R29" s="1036">
        <v>1467338.7175494977</v>
      </c>
      <c r="S29" s="1036">
        <v>924252.56073384441</v>
      </c>
      <c r="T29" s="1036">
        <v>605347.08863828133</v>
      </c>
      <c r="U29" s="1036">
        <v>6769110.7426948072</v>
      </c>
      <c r="V29" s="1036">
        <f>SUM(L29:T29)</f>
        <v>23826381.546921626</v>
      </c>
      <c r="W29" s="1036">
        <f>U29+J29+K29</f>
        <v>17474082.042694807</v>
      </c>
    </row>
    <row r="30" spans="1:26" ht="15" thickBot="1" x14ac:dyDescent="0.4">
      <c r="A30" s="247" t="s">
        <v>539</v>
      </c>
      <c r="I30" s="1094">
        <f>SUM(I31:I34)</f>
        <v>1592863.5196513855</v>
      </c>
      <c r="J30" s="602"/>
      <c r="K30" s="602"/>
      <c r="L30" s="602"/>
      <c r="M30" s="602"/>
      <c r="N30" s="602"/>
      <c r="O30" s="602"/>
      <c r="P30" s="602"/>
      <c r="Q30" s="602"/>
      <c r="R30" s="602"/>
      <c r="S30" s="602"/>
      <c r="T30" s="602"/>
      <c r="U30" s="602"/>
      <c r="V30" s="603">
        <f>+V29</f>
        <v>23826381.546921626</v>
      </c>
      <c r="W30" s="603">
        <f>+W29</f>
        <v>17474082.042694807</v>
      </c>
      <c r="X30" s="245">
        <f>+W30+V30</f>
        <v>41300463.589616433</v>
      </c>
    </row>
    <row r="31" spans="1:26" ht="15" thickTop="1" x14ac:dyDescent="0.35">
      <c r="A31" s="1040" t="s">
        <v>401</v>
      </c>
      <c r="B31" s="1040" t="s">
        <v>401</v>
      </c>
      <c r="C31" s="1040" t="s">
        <v>875</v>
      </c>
      <c r="D31" s="1040" t="s">
        <v>875</v>
      </c>
      <c r="E31" s="1040" t="s">
        <v>876</v>
      </c>
      <c r="F31" s="1040" t="s">
        <v>876</v>
      </c>
      <c r="G31" s="1040"/>
      <c r="H31" s="1040"/>
      <c r="I31" s="1041">
        <f>SUM(J31:U31)</f>
        <v>215917.56000000003</v>
      </c>
      <c r="J31" s="1041">
        <f t="shared" ref="J31:U31" si="2">260.77*69</f>
        <v>17993.129999999997</v>
      </c>
      <c r="K31" s="1041">
        <f t="shared" si="2"/>
        <v>17993.129999999997</v>
      </c>
      <c r="L31" s="1041">
        <f t="shared" si="2"/>
        <v>17993.129999999997</v>
      </c>
      <c r="M31" s="1041">
        <f t="shared" si="2"/>
        <v>17993.129999999997</v>
      </c>
      <c r="N31" s="1041">
        <f t="shared" si="2"/>
        <v>17993.129999999997</v>
      </c>
      <c r="O31" s="1041">
        <f t="shared" si="2"/>
        <v>17993.129999999997</v>
      </c>
      <c r="P31" s="1041">
        <f t="shared" si="2"/>
        <v>17993.129999999997</v>
      </c>
      <c r="Q31" s="1041">
        <f t="shared" si="2"/>
        <v>17993.129999999997</v>
      </c>
      <c r="R31" s="1041">
        <f t="shared" si="2"/>
        <v>17993.129999999997</v>
      </c>
      <c r="S31" s="1041">
        <f t="shared" si="2"/>
        <v>17993.129999999997</v>
      </c>
      <c r="T31" s="1041">
        <f t="shared" si="2"/>
        <v>17993.129999999997</v>
      </c>
      <c r="U31" s="1041">
        <f t="shared" si="2"/>
        <v>17993.129999999997</v>
      </c>
      <c r="V31" s="1041">
        <f>SUM(L31:T31)</f>
        <v>161938.17000000001</v>
      </c>
      <c r="W31" s="1041">
        <f>U31+J31+K31</f>
        <v>53979.389999999992</v>
      </c>
    </row>
    <row r="32" spans="1:26" x14ac:dyDescent="0.35">
      <c r="A32" s="1038" t="s">
        <v>403</v>
      </c>
      <c r="B32" s="1038" t="s">
        <v>411</v>
      </c>
      <c r="C32" s="1038" t="s">
        <v>871</v>
      </c>
      <c r="D32" s="1038" t="s">
        <v>874</v>
      </c>
      <c r="E32" s="1035" t="s">
        <v>864</v>
      </c>
      <c r="F32" s="1035" t="s">
        <v>867</v>
      </c>
      <c r="G32" s="1035"/>
      <c r="H32" s="1035"/>
      <c r="I32" s="1095">
        <f>SUM(J32:U32)</f>
        <v>387150.18831273512</v>
      </c>
      <c r="J32" s="1036">
        <v>85119.700000000012</v>
      </c>
      <c r="K32" s="1036">
        <v>71722.98000000001</v>
      </c>
      <c r="L32" s="1036">
        <v>38969.399999999994</v>
      </c>
      <c r="M32" s="1036">
        <v>39065.480000000003</v>
      </c>
      <c r="N32" s="1036">
        <v>32565.38</v>
      </c>
      <c r="O32" s="1036">
        <v>29457.96</v>
      </c>
      <c r="P32" s="1036">
        <v>35416.400000000001</v>
      </c>
      <c r="Q32" s="1036">
        <v>35063.06</v>
      </c>
      <c r="R32" s="1036">
        <v>3919.4232133040205</v>
      </c>
      <c r="S32" s="1036">
        <v>4099.1195990343276</v>
      </c>
      <c r="T32" s="1036">
        <v>4886.5164892344073</v>
      </c>
      <c r="U32" s="1036">
        <v>6864.7690111623469</v>
      </c>
      <c r="V32" s="1036">
        <f>SUM(L32:T32)</f>
        <v>223442.73930157276</v>
      </c>
      <c r="W32" s="1036">
        <f>U32+J32+K32</f>
        <v>163707.44901116239</v>
      </c>
    </row>
    <row r="33" spans="1:24" x14ac:dyDescent="0.35">
      <c r="A33" s="1038" t="s">
        <v>405</v>
      </c>
      <c r="B33" s="1038" t="s">
        <v>413</v>
      </c>
      <c r="C33" s="1038" t="s">
        <v>870</v>
      </c>
      <c r="D33" s="1038" t="s">
        <v>873</v>
      </c>
      <c r="E33" s="1035" t="s">
        <v>863</v>
      </c>
      <c r="F33" s="1035" t="s">
        <v>866</v>
      </c>
      <c r="G33" s="1035"/>
      <c r="H33" s="1035"/>
      <c r="I33" s="1095">
        <f>SUM(J33:U33)</f>
        <v>523005.91028254351</v>
      </c>
      <c r="J33" s="1036">
        <v>112625.47</v>
      </c>
      <c r="K33" s="1036">
        <v>95823.99</v>
      </c>
      <c r="L33" s="1036">
        <v>49114.69</v>
      </c>
      <c r="M33" s="1036">
        <v>49445.39</v>
      </c>
      <c r="N33" s="1036">
        <v>45040.78</v>
      </c>
      <c r="O33" s="1036">
        <v>43006.53</v>
      </c>
      <c r="P33" s="1036">
        <v>50700.5</v>
      </c>
      <c r="Q33" s="1036">
        <v>50064.65</v>
      </c>
      <c r="R33" s="1036">
        <v>5779.5323242022614</v>
      </c>
      <c r="S33" s="1036">
        <v>5536.8097434508363</v>
      </c>
      <c r="T33" s="1036">
        <v>5928.128683497971</v>
      </c>
      <c r="U33" s="1036">
        <v>9939.439531392356</v>
      </c>
      <c r="V33" s="1036">
        <f>SUM(L33:T33)</f>
        <v>304617.01075115101</v>
      </c>
      <c r="W33" s="1036">
        <f>U33+J33+K33</f>
        <v>218388.89953139238</v>
      </c>
    </row>
    <row r="34" spans="1:24" x14ac:dyDescent="0.35">
      <c r="A34" s="1038" t="s">
        <v>407</v>
      </c>
      <c r="B34" s="1038" t="s">
        <v>409</v>
      </c>
      <c r="C34" s="1038" t="s">
        <v>872</v>
      </c>
      <c r="D34" s="1038" t="s">
        <v>869</v>
      </c>
      <c r="E34" s="1035" t="s">
        <v>865</v>
      </c>
      <c r="F34" s="1035" t="s">
        <v>868</v>
      </c>
      <c r="G34" s="1035"/>
      <c r="H34" s="1035"/>
      <c r="I34" s="1095">
        <f>SUM(J34:U34)</f>
        <v>466789.86105610692</v>
      </c>
      <c r="J34" s="1036">
        <v>73478.06</v>
      </c>
      <c r="K34" s="1036">
        <v>70875.740000000005</v>
      </c>
      <c r="L34" s="1036">
        <v>51884.11</v>
      </c>
      <c r="M34" s="1036">
        <v>46161.82</v>
      </c>
      <c r="N34" s="1036">
        <v>45879.67</v>
      </c>
      <c r="O34" s="1036">
        <v>53548.649999999994</v>
      </c>
      <c r="P34" s="1036">
        <v>50550.6</v>
      </c>
      <c r="Q34" s="1036">
        <v>49199.13</v>
      </c>
      <c r="R34" s="1036">
        <v>5287.4077974496231</v>
      </c>
      <c r="S34" s="1036">
        <v>5520.0537405374062</v>
      </c>
      <c r="T34" s="1036">
        <v>5921.8967331435779</v>
      </c>
      <c r="U34" s="1036">
        <v>8482.722784976384</v>
      </c>
      <c r="V34" s="1036">
        <f>SUM(L34:T34)</f>
        <v>313953.33827113063</v>
      </c>
      <c r="W34" s="1036">
        <f>U34+J34+K34</f>
        <v>152836.52278497641</v>
      </c>
    </row>
    <row r="35" spans="1:24" ht="15" thickBot="1" x14ac:dyDescent="0.4">
      <c r="A35" s="247" t="s">
        <v>538</v>
      </c>
      <c r="B35" s="248"/>
      <c r="C35" s="248"/>
      <c r="D35" s="248"/>
      <c r="E35" s="248"/>
      <c r="F35" s="248"/>
      <c r="G35" s="248"/>
      <c r="H35" s="248"/>
      <c r="I35" s="1094">
        <f>SUM(I36:I39)</f>
        <v>93054578.548217431</v>
      </c>
      <c r="J35" s="1096"/>
      <c r="K35" s="1096"/>
      <c r="L35" s="1096"/>
      <c r="M35" s="1096"/>
      <c r="N35" s="1096"/>
      <c r="O35" s="1096"/>
      <c r="P35" s="1096"/>
      <c r="Q35" s="1096"/>
      <c r="R35" s="1096"/>
      <c r="S35" s="1096"/>
      <c r="T35" s="1096"/>
      <c r="U35" s="1096"/>
      <c r="V35" s="603">
        <f>+V34+V33+V32+V31</f>
        <v>1003951.2583238544</v>
      </c>
      <c r="W35" s="603">
        <f>+W34+W33+W32+W31</f>
        <v>588912.26132753119</v>
      </c>
      <c r="X35" s="245">
        <f>+W35+V35</f>
        <v>1592863.5196513855</v>
      </c>
    </row>
    <row r="36" spans="1:24" ht="15" thickTop="1" x14ac:dyDescent="0.35">
      <c r="A36" s="1040" t="s">
        <v>392</v>
      </c>
      <c r="B36" s="1040" t="s">
        <v>392</v>
      </c>
      <c r="C36" s="1040" t="s">
        <v>876</v>
      </c>
      <c r="D36" s="1040" t="s">
        <v>876</v>
      </c>
      <c r="E36" s="1040" t="s">
        <v>875</v>
      </c>
      <c r="F36" s="1040" t="s">
        <v>875</v>
      </c>
      <c r="G36" s="1040"/>
      <c r="H36" s="1040"/>
      <c r="I36" s="1041">
        <f>SUM(J36:U36)</f>
        <v>5382168</v>
      </c>
      <c r="J36" s="1041">
        <f t="shared" ref="J36:U36" si="3">773.3*580</f>
        <v>448514</v>
      </c>
      <c r="K36" s="1041">
        <f t="shared" si="3"/>
        <v>448514</v>
      </c>
      <c r="L36" s="1041">
        <f t="shared" si="3"/>
        <v>448514</v>
      </c>
      <c r="M36" s="1041">
        <f t="shared" si="3"/>
        <v>448514</v>
      </c>
      <c r="N36" s="1041">
        <f t="shared" si="3"/>
        <v>448514</v>
      </c>
      <c r="O36" s="1041">
        <f t="shared" si="3"/>
        <v>448514</v>
      </c>
      <c r="P36" s="1041">
        <f t="shared" si="3"/>
        <v>448514</v>
      </c>
      <c r="Q36" s="1041">
        <f t="shared" si="3"/>
        <v>448514</v>
      </c>
      <c r="R36" s="1041">
        <f t="shared" si="3"/>
        <v>448514</v>
      </c>
      <c r="S36" s="1041">
        <f t="shared" si="3"/>
        <v>448514</v>
      </c>
      <c r="T36" s="1041">
        <f t="shared" si="3"/>
        <v>448514</v>
      </c>
      <c r="U36" s="1041">
        <f t="shared" si="3"/>
        <v>448514</v>
      </c>
      <c r="V36" s="1041">
        <f>SUM(L36:T36)</f>
        <v>4036626</v>
      </c>
      <c r="W36" s="1041">
        <f>U36+J36+K36</f>
        <v>1345542</v>
      </c>
    </row>
    <row r="37" spans="1:24" x14ac:dyDescent="0.35">
      <c r="A37" s="1038" t="s">
        <v>396</v>
      </c>
      <c r="B37" s="1038" t="s">
        <v>388</v>
      </c>
      <c r="C37" s="1038" t="s">
        <v>864</v>
      </c>
      <c r="D37" s="1038" t="s">
        <v>867</v>
      </c>
      <c r="E37" s="1035" t="s">
        <v>871</v>
      </c>
      <c r="F37" s="1035" t="s">
        <v>874</v>
      </c>
      <c r="G37" s="1035"/>
      <c r="H37" s="1035"/>
      <c r="I37" s="1095">
        <f>SUM(J37:U37)</f>
        <v>23925925.373673581</v>
      </c>
      <c r="J37" s="1036">
        <v>3567573.3600000003</v>
      </c>
      <c r="K37" s="1036">
        <v>3047536.21</v>
      </c>
      <c r="L37" s="1036">
        <v>1858814.31</v>
      </c>
      <c r="M37" s="1036">
        <v>2137597.83</v>
      </c>
      <c r="N37" s="1036">
        <v>1959739.98</v>
      </c>
      <c r="O37" s="1036">
        <v>1796831.3699999999</v>
      </c>
      <c r="P37" s="1036">
        <v>2119190.8099999996</v>
      </c>
      <c r="Q37" s="1036">
        <v>2125076.5499999998</v>
      </c>
      <c r="R37" s="1036">
        <v>1173696.1460305958</v>
      </c>
      <c r="S37" s="1036">
        <v>1142965.9403861547</v>
      </c>
      <c r="T37" s="1036">
        <v>1193313.7093676741</v>
      </c>
      <c r="U37" s="1036">
        <v>1803589.1578891557</v>
      </c>
      <c r="V37" s="1036">
        <f>SUM(L37:T37)</f>
        <v>15507226.645784426</v>
      </c>
      <c r="W37" s="1036">
        <f>U37+J37+K37</f>
        <v>8418698.727889156</v>
      </c>
    </row>
    <row r="38" spans="1:24" x14ac:dyDescent="0.35">
      <c r="A38" s="1038" t="s">
        <v>398</v>
      </c>
      <c r="B38" s="1038" t="s">
        <v>390</v>
      </c>
      <c r="C38" s="1038" t="s">
        <v>863</v>
      </c>
      <c r="D38" s="1038" t="s">
        <v>866</v>
      </c>
      <c r="E38" s="1035" t="s">
        <v>870</v>
      </c>
      <c r="F38" s="1035" t="s">
        <v>873</v>
      </c>
      <c r="G38" s="1035"/>
      <c r="H38" s="1035"/>
      <c r="I38" s="1095">
        <f>SUM(J38:U38)</f>
        <v>35295313.448548608</v>
      </c>
      <c r="J38" s="1036">
        <v>5422778.290000001</v>
      </c>
      <c r="K38" s="1036">
        <v>4844510.16</v>
      </c>
      <c r="L38" s="1036">
        <v>2701691.37</v>
      </c>
      <c r="M38" s="1036">
        <v>2922826.8899999997</v>
      </c>
      <c r="N38" s="1036">
        <v>2831855.82</v>
      </c>
      <c r="O38" s="1036">
        <v>2627315.0900000003</v>
      </c>
      <c r="P38" s="1036">
        <v>3085679.7900000005</v>
      </c>
      <c r="Q38" s="1036">
        <v>3096292.9600000004</v>
      </c>
      <c r="R38" s="1036">
        <v>1545000.4403004146</v>
      </c>
      <c r="S38" s="1036">
        <v>1587031.2395991429</v>
      </c>
      <c r="T38" s="1036">
        <v>1751758.8732390329</v>
      </c>
      <c r="U38" s="1036">
        <v>2878572.5254100123</v>
      </c>
      <c r="V38" s="1036">
        <f>SUM(L38:T38)</f>
        <v>22149452.473138593</v>
      </c>
      <c r="W38" s="1036">
        <f>U38+J38+K38</f>
        <v>13145860.975410014</v>
      </c>
    </row>
    <row r="39" spans="1:24" x14ac:dyDescent="0.35">
      <c r="A39" s="1038" t="s">
        <v>394</v>
      </c>
      <c r="B39" s="1038" t="s">
        <v>386</v>
      </c>
      <c r="C39" s="1038" t="s">
        <v>865</v>
      </c>
      <c r="D39" s="1038" t="s">
        <v>868</v>
      </c>
      <c r="E39" s="1035" t="s">
        <v>872</v>
      </c>
      <c r="F39" s="1035" t="s">
        <v>869</v>
      </c>
      <c r="G39" s="1035"/>
      <c r="H39" s="1035"/>
      <c r="I39" s="1095">
        <f>SUM(J39:U39)</f>
        <v>28451171.725995246</v>
      </c>
      <c r="J39" s="1036">
        <v>3289828.04</v>
      </c>
      <c r="K39" s="1036">
        <v>3340645.46</v>
      </c>
      <c r="L39" s="1036">
        <v>2617701.1199999996</v>
      </c>
      <c r="M39" s="1036">
        <v>2473619.5100000002</v>
      </c>
      <c r="N39" s="1036">
        <v>2515127.9899999998</v>
      </c>
      <c r="O39" s="1036">
        <v>2969175.34</v>
      </c>
      <c r="P39" s="1036">
        <v>2689916.22</v>
      </c>
      <c r="Q39" s="1036">
        <v>2685500.02</v>
      </c>
      <c r="R39" s="1036">
        <v>1259339.6742601274</v>
      </c>
      <c r="S39" s="1036">
        <v>1382503.902905229</v>
      </c>
      <c r="T39" s="1036">
        <v>1352794.0853891466</v>
      </c>
      <c r="U39" s="1036">
        <v>1875020.3634407397</v>
      </c>
      <c r="V39" s="1036">
        <f>SUM(L39:T39)</f>
        <v>19945677.862554505</v>
      </c>
      <c r="W39" s="1036">
        <f>U39+J39+K39</f>
        <v>8505493.8634407409</v>
      </c>
    </row>
    <row r="40" spans="1:24" ht="15" thickBot="1" x14ac:dyDescent="0.4">
      <c r="A40" s="247" t="s">
        <v>254</v>
      </c>
      <c r="I40" s="1094">
        <f>SUM(I41:I46)</f>
        <v>162019704.41942492</v>
      </c>
      <c r="J40" s="602"/>
      <c r="K40" s="602"/>
      <c r="L40" s="602"/>
      <c r="M40" s="602"/>
      <c r="N40" s="602"/>
      <c r="O40" s="602"/>
      <c r="P40" s="602"/>
      <c r="Q40" s="602"/>
      <c r="R40" s="602"/>
      <c r="S40" s="602"/>
      <c r="T40" s="602"/>
      <c r="U40" s="602"/>
      <c r="V40" s="603">
        <f>+V39+V38+V37+V36</f>
        <v>61638982.981477529</v>
      </c>
      <c r="W40" s="603">
        <f>+W39+W38+W37+W36</f>
        <v>31415595.566739909</v>
      </c>
      <c r="X40" s="245">
        <f>+W40+V40</f>
        <v>93054578.548217446</v>
      </c>
    </row>
    <row r="41" spans="1:24" ht="15" thickTop="1" x14ac:dyDescent="0.35">
      <c r="A41" s="1040" t="s">
        <v>256</v>
      </c>
      <c r="B41" s="1040" t="s">
        <v>256</v>
      </c>
      <c r="C41" s="1040" t="s">
        <v>862</v>
      </c>
      <c r="D41" s="1040" t="s">
        <v>1382</v>
      </c>
      <c r="E41" s="1040" t="s">
        <v>862</v>
      </c>
      <c r="F41" s="1040" t="s">
        <v>862</v>
      </c>
      <c r="G41" s="1040"/>
      <c r="H41" s="1040"/>
      <c r="I41" s="1041">
        <f t="shared" ref="I41:I46" si="4">SUM(J41:U41)</f>
        <v>192863.87999999998</v>
      </c>
      <c r="J41" s="1041">
        <f t="shared" ref="J41:U41" si="5">5357.33*3</f>
        <v>16071.99</v>
      </c>
      <c r="K41" s="1041">
        <f t="shared" si="5"/>
        <v>16071.99</v>
      </c>
      <c r="L41" s="1041">
        <f t="shared" si="5"/>
        <v>16071.99</v>
      </c>
      <c r="M41" s="1041">
        <f t="shared" si="5"/>
        <v>16071.99</v>
      </c>
      <c r="N41" s="1041">
        <f t="shared" si="5"/>
        <v>16071.99</v>
      </c>
      <c r="O41" s="1041">
        <f t="shared" si="5"/>
        <v>16071.99</v>
      </c>
      <c r="P41" s="1041">
        <f t="shared" si="5"/>
        <v>16071.99</v>
      </c>
      <c r="Q41" s="1041">
        <f t="shared" si="5"/>
        <v>16071.99</v>
      </c>
      <c r="R41" s="1041">
        <f t="shared" si="5"/>
        <v>16071.99</v>
      </c>
      <c r="S41" s="1041">
        <f t="shared" si="5"/>
        <v>16071.99</v>
      </c>
      <c r="T41" s="1041">
        <f t="shared" si="5"/>
        <v>16071.99</v>
      </c>
      <c r="U41" s="1041">
        <f t="shared" si="5"/>
        <v>16071.99</v>
      </c>
      <c r="V41" s="1041">
        <f t="shared" ref="V41:V46" si="6">SUM(L41:T41)</f>
        <v>144647.91</v>
      </c>
      <c r="W41" s="1041">
        <f t="shared" ref="W41:W46" si="7">U41+J41+K41</f>
        <v>48215.97</v>
      </c>
    </row>
    <row r="42" spans="1:24" x14ac:dyDescent="0.35">
      <c r="A42" s="1051" t="s">
        <v>256</v>
      </c>
      <c r="B42" s="1051" t="s">
        <v>256</v>
      </c>
      <c r="C42" s="1051" t="s">
        <v>862</v>
      </c>
      <c r="D42" s="1051" t="s">
        <v>862</v>
      </c>
      <c r="E42" s="1052" t="s">
        <v>862</v>
      </c>
      <c r="F42" s="1052" t="s">
        <v>862</v>
      </c>
      <c r="G42" s="1052"/>
      <c r="H42" s="1052"/>
      <c r="I42" s="1097">
        <f t="shared" si="4"/>
        <v>15968963.265419379</v>
      </c>
      <c r="J42" s="1097">
        <f>'[1]MMM Main Sheet'!$I$358</f>
        <v>1621254.03</v>
      </c>
      <c r="K42" s="1097">
        <f>'[1]MMM Main Sheet'!$I$359</f>
        <v>1561864.93</v>
      </c>
      <c r="L42" s="1097">
        <f>'[1]MMM Main Sheet'!$I$360</f>
        <v>1561864.93</v>
      </c>
      <c r="M42" s="1097">
        <f>'[1]MMM Main Sheet'!$I$361</f>
        <v>1561864.93</v>
      </c>
      <c r="N42" s="1097">
        <f>'[1]MMM Main Sheet'!$I$362</f>
        <v>1561864.93</v>
      </c>
      <c r="O42" s="1097">
        <f>'[1]MMM Main Sheet'!$I$363</f>
        <v>1561864.93</v>
      </c>
      <c r="P42" s="1097">
        <f>'[1]MMM Main Sheet'!$I$365</f>
        <v>1561864.93</v>
      </c>
      <c r="Q42" s="1097">
        <f>'[1]MMM Main Sheet'!$I$366</f>
        <v>1561864.93</v>
      </c>
      <c r="R42" s="1036">
        <v>817479.8078768556</v>
      </c>
      <c r="S42" s="1036">
        <v>820309.69637747365</v>
      </c>
      <c r="T42" s="1036">
        <v>852752.6346295746</v>
      </c>
      <c r="U42" s="1036">
        <v>924112.58653547545</v>
      </c>
      <c r="V42" s="1054">
        <f t="shared" si="6"/>
        <v>11861731.718883902</v>
      </c>
      <c r="W42" s="1054">
        <f t="shared" si="7"/>
        <v>4107231.5465354752</v>
      </c>
    </row>
    <row r="43" spans="1:24" x14ac:dyDescent="0.35">
      <c r="A43" s="1051" t="s">
        <v>257</v>
      </c>
      <c r="B43" s="1051" t="s">
        <v>257</v>
      </c>
      <c r="C43" s="1051" t="s">
        <v>861</v>
      </c>
      <c r="D43" s="1055" t="s">
        <v>1385</v>
      </c>
      <c r="E43" s="1052" t="s">
        <v>861</v>
      </c>
      <c r="F43" s="1052" t="s">
        <v>861</v>
      </c>
      <c r="G43" s="1052"/>
      <c r="H43" s="1052"/>
      <c r="I43" s="1097">
        <f t="shared" si="4"/>
        <v>32683457.629888494</v>
      </c>
      <c r="J43" s="1053">
        <f>'[1]MMM Main Sheet'!$H$358</f>
        <v>4345149.55</v>
      </c>
      <c r="K43" s="1097">
        <f>'[1]MMM Main Sheet'!$H$359</f>
        <v>3976775.75</v>
      </c>
      <c r="L43" s="1097">
        <f>'[1]MMM Main Sheet'!$H$360</f>
        <v>3314651.57</v>
      </c>
      <c r="M43" s="1097">
        <f>'[1]MMM Main Sheet'!$H$361</f>
        <v>3022749.53</v>
      </c>
      <c r="N43" s="1097">
        <f>'[1]MMM Main Sheet'!$H$362</f>
        <v>2519047.02</v>
      </c>
      <c r="O43" s="1097">
        <f>'[1]MMM Main Sheet'!$H$363</f>
        <v>2247498.8199999998</v>
      </c>
      <c r="P43" s="1097">
        <f>'[1]MMM Main Sheet'!$H$365</f>
        <v>2738196.24</v>
      </c>
      <c r="Q43" s="1097">
        <f>'[1]MMM Main Sheet'!$H$366</f>
        <v>2738196.24</v>
      </c>
      <c r="R43" s="1036">
        <v>1628561.3686653958</v>
      </c>
      <c r="S43" s="1036">
        <v>1630143.1375361872</v>
      </c>
      <c r="T43" s="1036">
        <v>2095843.7537989547</v>
      </c>
      <c r="U43" s="1036">
        <v>2426644.6498879557</v>
      </c>
      <c r="V43" s="1054">
        <f t="shared" si="6"/>
        <v>21934887.680000536</v>
      </c>
      <c r="W43" s="1054">
        <f t="shared" si="7"/>
        <v>10748569.949887956</v>
      </c>
    </row>
    <row r="44" spans="1:24" x14ac:dyDescent="0.35">
      <c r="A44" s="1038" t="s">
        <v>435</v>
      </c>
      <c r="B44" s="1038" t="s">
        <v>258</v>
      </c>
      <c r="C44" s="1038" t="s">
        <v>857</v>
      </c>
      <c r="D44" s="1038" t="s">
        <v>859</v>
      </c>
      <c r="E44" s="1035" t="s">
        <v>857</v>
      </c>
      <c r="F44" s="1035" t="s">
        <v>859</v>
      </c>
      <c r="G44" s="1035"/>
      <c r="H44" s="1035"/>
      <c r="I44" s="1095">
        <f t="shared" si="4"/>
        <v>30536494.077903826</v>
      </c>
      <c r="J44" s="1036">
        <v>6874011.46</v>
      </c>
      <c r="K44" s="1036">
        <v>5549374.6699999999</v>
      </c>
      <c r="L44" s="1036">
        <v>2201645.38</v>
      </c>
      <c r="M44" s="1036">
        <v>2229343.4</v>
      </c>
      <c r="N44" s="1036">
        <v>1716926.73</v>
      </c>
      <c r="O44" s="1036">
        <v>1236369.7</v>
      </c>
      <c r="P44" s="1036">
        <v>1856877.98</v>
      </c>
      <c r="Q44" s="1036">
        <f>'[1]MMM Main Sheet'!$N$366</f>
        <v>1856877.98</v>
      </c>
      <c r="R44" s="1036">
        <v>1045575.3518837909</v>
      </c>
      <c r="S44" s="1036">
        <v>1155644.3253074605</v>
      </c>
      <c r="T44" s="1036">
        <v>1531018.8978589782</v>
      </c>
      <c r="U44" s="1036">
        <v>3282828.2028536019</v>
      </c>
      <c r="V44" s="1036">
        <f t="shared" si="6"/>
        <v>14830279.745050229</v>
      </c>
      <c r="W44" s="1036">
        <f t="shared" si="7"/>
        <v>15706214.332853602</v>
      </c>
    </row>
    <row r="45" spans="1:24" x14ac:dyDescent="0.35">
      <c r="A45" s="1038" t="s">
        <v>438</v>
      </c>
      <c r="B45" s="1038" t="s">
        <v>259</v>
      </c>
      <c r="C45" s="1038" t="s">
        <v>856</v>
      </c>
      <c r="D45" s="1038" t="s">
        <v>858</v>
      </c>
      <c r="E45" s="1035" t="s">
        <v>856</v>
      </c>
      <c r="F45" s="1035" t="s">
        <v>858</v>
      </c>
      <c r="G45" s="1035"/>
      <c r="H45" s="1035"/>
      <c r="I45" s="1095">
        <f t="shared" si="4"/>
        <v>41981702.859442122</v>
      </c>
      <c r="J45" s="1036">
        <v>7987643.1900000004</v>
      </c>
      <c r="K45" s="1036">
        <v>6804712.0800000001</v>
      </c>
      <c r="L45" s="1036">
        <v>3362031.79</v>
      </c>
      <c r="M45" s="1036">
        <v>3219654.91</v>
      </c>
      <c r="N45" s="1036">
        <v>2749317.7</v>
      </c>
      <c r="O45" s="1036">
        <v>1899487.11</v>
      </c>
      <c r="P45" s="1036">
        <v>2876053.5</v>
      </c>
      <c r="Q45" s="1036">
        <f>'[1]MMM Main Sheet'!$Q$366</f>
        <v>2876053.5</v>
      </c>
      <c r="R45" s="1036">
        <v>1949569.2422698562</v>
      </c>
      <c r="S45" s="1036">
        <v>1814534.0652269935</v>
      </c>
      <c r="T45" s="1036">
        <v>2362117.6712317187</v>
      </c>
      <c r="U45" s="1036">
        <v>4080528.1007135576</v>
      </c>
      <c r="V45" s="1036">
        <f t="shared" si="6"/>
        <v>23108819.488728568</v>
      </c>
      <c r="W45" s="1036">
        <f t="shared" si="7"/>
        <v>18872883.370713558</v>
      </c>
    </row>
    <row r="46" spans="1:24" x14ac:dyDescent="0.35">
      <c r="A46" s="1038" t="s">
        <v>491</v>
      </c>
      <c r="B46" s="1038" t="s">
        <v>260</v>
      </c>
      <c r="C46" s="1038" t="s">
        <v>490</v>
      </c>
      <c r="D46" s="1038" t="s">
        <v>860</v>
      </c>
      <c r="E46" s="1035" t="s">
        <v>490</v>
      </c>
      <c r="F46" s="1035" t="s">
        <v>860</v>
      </c>
      <c r="G46" s="1035"/>
      <c r="H46" s="1035"/>
      <c r="I46" s="1095">
        <f t="shared" si="4"/>
        <v>40656222.706771098</v>
      </c>
      <c r="J46" s="1036">
        <v>7049328.0599999996</v>
      </c>
      <c r="K46" s="1036">
        <v>6771273.2699999996</v>
      </c>
      <c r="L46" s="1036">
        <v>3610724.53</v>
      </c>
      <c r="M46" s="1036">
        <v>2896101.83</v>
      </c>
      <c r="N46" s="1036">
        <v>2629488.0499999998</v>
      </c>
      <c r="O46" s="1036">
        <v>2545194.0699999998</v>
      </c>
      <c r="P46" s="1036">
        <v>2640997.9900000002</v>
      </c>
      <c r="Q46" s="1036">
        <f>'[1]MMM Main Sheet'!$T$366</f>
        <v>2640997.9900000002</v>
      </c>
      <c r="R46" s="1036">
        <v>1836698.7444754301</v>
      </c>
      <c r="S46" s="1036">
        <v>1884856.9234621804</v>
      </c>
      <c r="T46" s="1036">
        <v>2189560.4036633745</v>
      </c>
      <c r="U46" s="1036">
        <v>3961000.8451701114</v>
      </c>
      <c r="V46" s="1036">
        <f t="shared" si="6"/>
        <v>22874620.531600989</v>
      </c>
      <c r="W46" s="1036">
        <f t="shared" si="7"/>
        <v>17781602.175170109</v>
      </c>
    </row>
    <row r="47" spans="1:24" ht="15" thickBot="1" x14ac:dyDescent="0.4">
      <c r="A47" s="247" t="s">
        <v>261</v>
      </c>
      <c r="I47" s="1094">
        <f>SUM(I48:I53)</f>
        <v>922099245.18119109</v>
      </c>
      <c r="J47" s="602"/>
      <c r="K47" s="602"/>
      <c r="L47" s="602"/>
      <c r="M47" s="602"/>
      <c r="N47" s="602"/>
      <c r="O47" s="602"/>
      <c r="P47" s="602"/>
      <c r="Q47" s="602"/>
      <c r="R47" s="602"/>
      <c r="S47" s="602"/>
      <c r="T47" s="602"/>
      <c r="U47" s="602"/>
      <c r="V47" s="603">
        <f>+V46+V45+V44+V43+V42+V41</f>
        <v>94754987.074264228</v>
      </c>
      <c r="W47" s="603">
        <f>+W46+W45+W44+W43+W42+W41</f>
        <v>67264717.345160693</v>
      </c>
      <c r="X47" s="245">
        <f>+W47+V47</f>
        <v>162019704.41942492</v>
      </c>
    </row>
    <row r="48" spans="1:24" ht="15" thickTop="1" x14ac:dyDescent="0.35">
      <c r="A48" s="1040" t="s">
        <v>262</v>
      </c>
      <c r="B48" s="1040" t="s">
        <v>262</v>
      </c>
      <c r="C48" s="1040" t="s">
        <v>854</v>
      </c>
      <c r="D48" s="1040" t="s">
        <v>1383</v>
      </c>
      <c r="E48" s="1040" t="s">
        <v>854</v>
      </c>
      <c r="F48" s="1040" t="s">
        <v>854</v>
      </c>
      <c r="G48" s="1040"/>
      <c r="H48" s="1040"/>
      <c r="I48" s="1041">
        <f t="shared" ref="I48:I53" si="8">SUM(J48:U48)</f>
        <v>7028663.4000000013</v>
      </c>
      <c r="J48" s="1041">
        <f t="shared" ref="J48:U48" si="9">3549.83*165</f>
        <v>585721.94999999995</v>
      </c>
      <c r="K48" s="1041">
        <f t="shared" si="9"/>
        <v>585721.94999999995</v>
      </c>
      <c r="L48" s="1041">
        <f t="shared" si="9"/>
        <v>585721.94999999995</v>
      </c>
      <c r="M48" s="1041">
        <f t="shared" si="9"/>
        <v>585721.94999999995</v>
      </c>
      <c r="N48" s="1041">
        <f t="shared" si="9"/>
        <v>585721.94999999995</v>
      </c>
      <c r="O48" s="1041">
        <f t="shared" si="9"/>
        <v>585721.94999999995</v>
      </c>
      <c r="P48" s="1041">
        <f t="shared" si="9"/>
        <v>585721.94999999995</v>
      </c>
      <c r="Q48" s="1041">
        <f t="shared" si="9"/>
        <v>585721.94999999995</v>
      </c>
      <c r="R48" s="1041">
        <f t="shared" si="9"/>
        <v>585721.94999999995</v>
      </c>
      <c r="S48" s="1041">
        <f t="shared" si="9"/>
        <v>585721.94999999995</v>
      </c>
      <c r="T48" s="1041">
        <f t="shared" si="9"/>
        <v>585721.94999999995</v>
      </c>
      <c r="U48" s="1041">
        <f t="shared" si="9"/>
        <v>585721.94999999995</v>
      </c>
      <c r="V48" s="1041">
        <f t="shared" ref="V48:V53" si="10">SUM(L48:T48)</f>
        <v>5271497.5500000007</v>
      </c>
      <c r="W48" s="1041">
        <f t="shared" ref="W48:W53" si="11">U48+J48+K48</f>
        <v>1757165.8499999999</v>
      </c>
    </row>
    <row r="49" spans="1:24" x14ac:dyDescent="0.35">
      <c r="A49" s="1051" t="s">
        <v>262</v>
      </c>
      <c r="B49" s="1051" t="s">
        <v>262</v>
      </c>
      <c r="C49" s="1051" t="s">
        <v>854</v>
      </c>
      <c r="D49" s="1051" t="s">
        <v>854</v>
      </c>
      <c r="E49" s="1052" t="s">
        <v>854</v>
      </c>
      <c r="F49" s="1052" t="s">
        <v>854</v>
      </c>
      <c r="G49" s="1052"/>
      <c r="H49" s="1052"/>
      <c r="I49" s="1097">
        <f t="shared" si="8"/>
        <v>93305741.852279097</v>
      </c>
      <c r="J49" s="1097">
        <f>'[1]MMM Main Sheet'!$I$383</f>
        <v>8759798.4800000004</v>
      </c>
      <c r="K49" s="1097">
        <f>'[1]MMM Main Sheet'!$I$384</f>
        <v>8623012.1699999999</v>
      </c>
      <c r="L49" s="1097">
        <f>'[1]MMM Main Sheet'!$I$385</f>
        <v>8536913.1799999997</v>
      </c>
      <c r="M49" s="1097">
        <f>'[1]MMM Main Sheet'!$I$386</f>
        <v>8596028.4299999997</v>
      </c>
      <c r="N49" s="1097">
        <f>'[1]MMM Main Sheet'!$I$387</f>
        <v>8630793.1799999997</v>
      </c>
      <c r="O49" s="1097">
        <f>'[1]MMM Main Sheet'!$I$388</f>
        <v>8656461.6500000004</v>
      </c>
      <c r="P49" s="1097">
        <f>'[1]MMM Main Sheet'!$I$390</f>
        <v>8612016.7300000004</v>
      </c>
      <c r="Q49" s="1097">
        <f>'[1]MMM Main Sheet'!$I$391</f>
        <v>8612016.7300000004</v>
      </c>
      <c r="R49" s="1036">
        <v>5995835.5154061774</v>
      </c>
      <c r="S49" s="1036">
        <v>6035867.8543466171</v>
      </c>
      <c r="T49" s="1036">
        <v>6099726.4111014707</v>
      </c>
      <c r="U49" s="1036">
        <v>6147271.5214248318</v>
      </c>
      <c r="V49" s="1054">
        <f t="shared" si="10"/>
        <v>69775659.680854276</v>
      </c>
      <c r="W49" s="1054">
        <f t="shared" si="11"/>
        <v>23530082.171424832</v>
      </c>
    </row>
    <row r="50" spans="1:24" x14ac:dyDescent="0.35">
      <c r="A50" s="1051" t="s">
        <v>263</v>
      </c>
      <c r="B50" s="1051" t="s">
        <v>263</v>
      </c>
      <c r="C50" s="1051" t="s">
        <v>853</v>
      </c>
      <c r="D50" s="1051" t="s">
        <v>1384</v>
      </c>
      <c r="E50" s="1052" t="s">
        <v>853</v>
      </c>
      <c r="F50" s="1052" t="s">
        <v>853</v>
      </c>
      <c r="G50" s="1052"/>
      <c r="H50" s="1052"/>
      <c r="I50" s="1097">
        <f t="shared" si="8"/>
        <v>204327162.77203035</v>
      </c>
      <c r="J50" s="1097">
        <f>'[1]MMM Main Sheet'!$H$383</f>
        <v>19626175.810000002</v>
      </c>
      <c r="K50" s="1097">
        <f>'[1]MMM Main Sheet'!$H$384</f>
        <v>18659472.149999999</v>
      </c>
      <c r="L50" s="1097">
        <f>'[1]MMM Main Sheet'!$H$385</f>
        <v>17542770.050000001</v>
      </c>
      <c r="M50" s="1097">
        <f>'[1]MMM Main Sheet'!$H$386</f>
        <v>18355660.620000001</v>
      </c>
      <c r="N50" s="1097">
        <f>'[1]MMM Main Sheet'!$H$387</f>
        <v>18524910.040000003</v>
      </c>
      <c r="O50" s="1097">
        <f>'[1]MMM Main Sheet'!$H$388</f>
        <v>18646775.07</v>
      </c>
      <c r="P50" s="1097">
        <f>'[1]MMM Main Sheet'!$H$390</f>
        <v>18901629.030000001</v>
      </c>
      <c r="Q50" s="1097">
        <f>'[1]MMM Main Sheet'!$H$391</f>
        <v>18832772.370000001</v>
      </c>
      <c r="R50" s="1036">
        <v>13843908.693004377</v>
      </c>
      <c r="S50" s="1036">
        <v>13657214.561214933</v>
      </c>
      <c r="T50" s="1036">
        <v>13600128.680043746</v>
      </c>
      <c r="U50" s="1036">
        <v>14135745.69776728</v>
      </c>
      <c r="V50" s="1054">
        <f t="shared" si="10"/>
        <v>151905769.11426306</v>
      </c>
      <c r="W50" s="1054">
        <f t="shared" si="11"/>
        <v>52421393.657767281</v>
      </c>
    </row>
    <row r="51" spans="1:24" x14ac:dyDescent="0.35">
      <c r="A51" s="1038" t="s">
        <v>423</v>
      </c>
      <c r="B51" s="1038" t="s">
        <v>264</v>
      </c>
      <c r="C51" s="1038" t="s">
        <v>849</v>
      </c>
      <c r="D51" s="1038" t="s">
        <v>852</v>
      </c>
      <c r="E51" s="1035" t="s">
        <v>849</v>
      </c>
      <c r="F51" s="1035" t="s">
        <v>852</v>
      </c>
      <c r="G51" s="1035"/>
      <c r="H51" s="1035"/>
      <c r="I51" s="1095">
        <f t="shared" si="8"/>
        <v>161823162.87919936</v>
      </c>
      <c r="J51" s="1036">
        <v>27288058.390000001</v>
      </c>
      <c r="K51" s="1036">
        <v>23795446.849999998</v>
      </c>
      <c r="L51" s="1036">
        <v>10579065.020000001</v>
      </c>
      <c r="M51" s="1036">
        <v>11674557.300000001</v>
      </c>
      <c r="N51" s="1036">
        <v>10644046.869999999</v>
      </c>
      <c r="O51" s="1036">
        <v>9686134.6600000001</v>
      </c>
      <c r="P51" s="1036">
        <v>11769927.209999999</v>
      </c>
      <c r="Q51" s="1036">
        <v>11740312.809999999</v>
      </c>
      <c r="R51" s="1036">
        <v>9135740.1698832419</v>
      </c>
      <c r="S51" s="1036">
        <v>8011831.5234072879</v>
      </c>
      <c r="T51" s="1036">
        <v>8783533.8087885045</v>
      </c>
      <c r="U51" s="1036">
        <v>18714508.267120343</v>
      </c>
      <c r="V51" s="1036">
        <f t="shared" si="10"/>
        <v>92025149.372079015</v>
      </c>
      <c r="W51" s="1036">
        <f t="shared" si="11"/>
        <v>69798013.507120341</v>
      </c>
    </row>
    <row r="52" spans="1:24" x14ac:dyDescent="0.35">
      <c r="A52" s="1038" t="s">
        <v>425</v>
      </c>
      <c r="B52" s="1038" t="s">
        <v>265</v>
      </c>
      <c r="C52" s="1038" t="s">
        <v>848</v>
      </c>
      <c r="D52" s="1038" t="s">
        <v>851</v>
      </c>
      <c r="E52" s="1035" t="s">
        <v>848</v>
      </c>
      <c r="F52" s="1035" t="s">
        <v>851</v>
      </c>
      <c r="G52" s="1035"/>
      <c r="H52" s="1035"/>
      <c r="I52" s="1095">
        <f t="shared" si="8"/>
        <v>235863761.8334792</v>
      </c>
      <c r="J52" s="1036">
        <v>31659196.829999998</v>
      </c>
      <c r="K52" s="1036">
        <v>28809938.530000001</v>
      </c>
      <c r="L52" s="1036">
        <v>16943734.629999999</v>
      </c>
      <c r="M52" s="1036">
        <v>18336823.169999998</v>
      </c>
      <c r="N52" s="1036">
        <v>17877945.649999999</v>
      </c>
      <c r="O52" s="1036">
        <v>16516015.65</v>
      </c>
      <c r="P52" s="1036">
        <v>19149643.580000002</v>
      </c>
      <c r="Q52" s="1036">
        <v>19103740.370000001</v>
      </c>
      <c r="R52" s="1036">
        <v>15595162.382825386</v>
      </c>
      <c r="S52" s="1036">
        <v>13712075.493741136</v>
      </c>
      <c r="T52" s="1036">
        <v>14500026.129980261</v>
      </c>
      <c r="U52" s="1036">
        <v>23659459.416932415</v>
      </c>
      <c r="V52" s="1037">
        <f t="shared" si="10"/>
        <v>151735167.05654678</v>
      </c>
      <c r="W52" s="1036">
        <f t="shared" si="11"/>
        <v>84128594.776932418</v>
      </c>
    </row>
    <row r="53" spans="1:24" x14ac:dyDescent="0.35">
      <c r="A53" s="1038" t="s">
        <v>421</v>
      </c>
      <c r="B53" s="1038" t="s">
        <v>266</v>
      </c>
      <c r="C53" s="1038" t="s">
        <v>850</v>
      </c>
      <c r="D53" s="1038" t="s">
        <v>855</v>
      </c>
      <c r="E53" s="1035" t="s">
        <v>850</v>
      </c>
      <c r="F53" s="1035" t="s">
        <v>855</v>
      </c>
      <c r="G53" s="1035"/>
      <c r="H53" s="1035"/>
      <c r="I53" s="1095">
        <f t="shared" si="8"/>
        <v>219750752.44420311</v>
      </c>
      <c r="J53" s="1036">
        <v>27248458.539999999</v>
      </c>
      <c r="K53" s="1036">
        <v>27858194.540000003</v>
      </c>
      <c r="L53" s="1036">
        <v>17105753.199999999</v>
      </c>
      <c r="M53" s="1036">
        <v>16116665.800000001</v>
      </c>
      <c r="N53" s="1036">
        <v>16557671.9</v>
      </c>
      <c r="O53" s="1036">
        <v>18636247.169999998</v>
      </c>
      <c r="P53" s="1036">
        <v>17302301</v>
      </c>
      <c r="Q53" s="1036">
        <v>17255956.68</v>
      </c>
      <c r="R53" s="1036">
        <v>12905479.301531721</v>
      </c>
      <c r="S53" s="1036">
        <v>13721744.063773677</v>
      </c>
      <c r="T53" s="1036">
        <v>13636620.407187</v>
      </c>
      <c r="U53" s="1036">
        <v>21405659.841710728</v>
      </c>
      <c r="V53" s="1036">
        <f t="shared" si="10"/>
        <v>143238439.52249241</v>
      </c>
      <c r="W53" s="1036">
        <f t="shared" si="11"/>
        <v>76512312.92171073</v>
      </c>
    </row>
    <row r="54" spans="1:24" ht="15" thickBot="1" x14ac:dyDescent="0.4">
      <c r="A54" s="247" t="s">
        <v>267</v>
      </c>
      <c r="I54" s="1094">
        <f>SUM(I55:I60)</f>
        <v>395414516.7593137</v>
      </c>
      <c r="J54" s="602"/>
      <c r="K54" s="602"/>
      <c r="L54" s="602"/>
      <c r="M54" s="602"/>
      <c r="N54" s="602"/>
      <c r="O54" s="602"/>
      <c r="P54" s="602"/>
      <c r="Q54" s="602"/>
      <c r="R54" s="602"/>
      <c r="S54" s="602"/>
      <c r="T54" s="602"/>
      <c r="U54" s="602"/>
      <c r="V54" s="603">
        <f>+V53+V52+V51+V50+V49+V48</f>
        <v>613951682.29623556</v>
      </c>
      <c r="W54" s="603">
        <f>+W53+W52+W51+W50+W49+W48</f>
        <v>308147562.88495559</v>
      </c>
      <c r="X54" s="245">
        <f>+W54+V54</f>
        <v>922099245.18119121</v>
      </c>
    </row>
    <row r="55" spans="1:24" ht="15" thickTop="1" x14ac:dyDescent="0.35">
      <c r="A55" s="1040" t="s">
        <v>268</v>
      </c>
      <c r="B55" s="1040" t="s">
        <v>268</v>
      </c>
      <c r="C55" s="1040" t="s">
        <v>847</v>
      </c>
      <c r="D55" s="1040" t="s">
        <v>1386</v>
      </c>
      <c r="E55" s="1040" t="s">
        <v>847</v>
      </c>
      <c r="F55" s="1040" t="s">
        <v>847</v>
      </c>
      <c r="G55" s="1040"/>
      <c r="H55" s="1040"/>
      <c r="I55" s="1041">
        <f t="shared" ref="I55:I60" si="12">SUM(J55:U55)</f>
        <v>22313652.479999993</v>
      </c>
      <c r="J55" s="1041">
        <f t="shared" ref="J55:U55" si="13">2767.07*672</f>
        <v>1859471.04</v>
      </c>
      <c r="K55" s="1041">
        <f t="shared" si="13"/>
        <v>1859471.04</v>
      </c>
      <c r="L55" s="1041">
        <f t="shared" si="13"/>
        <v>1859471.04</v>
      </c>
      <c r="M55" s="1041">
        <f t="shared" si="13"/>
        <v>1859471.04</v>
      </c>
      <c r="N55" s="1041">
        <f t="shared" si="13"/>
        <v>1859471.04</v>
      </c>
      <c r="O55" s="1041">
        <f t="shared" si="13"/>
        <v>1859471.04</v>
      </c>
      <c r="P55" s="1041">
        <f t="shared" si="13"/>
        <v>1859471.04</v>
      </c>
      <c r="Q55" s="1041">
        <f t="shared" si="13"/>
        <v>1859471.04</v>
      </c>
      <c r="R55" s="1041">
        <f t="shared" si="13"/>
        <v>1859471.04</v>
      </c>
      <c r="S55" s="1041">
        <f t="shared" si="13"/>
        <v>1859471.04</v>
      </c>
      <c r="T55" s="1041">
        <f t="shared" si="13"/>
        <v>1859471.04</v>
      </c>
      <c r="U55" s="1041">
        <f t="shared" si="13"/>
        <v>1859471.04</v>
      </c>
      <c r="V55" s="1041">
        <f t="shared" ref="V55:V60" si="14">SUM(L55:T55)</f>
        <v>16735239.359999996</v>
      </c>
      <c r="W55" s="1041">
        <f t="shared" ref="W55:W60" si="15">U55+J55+K55</f>
        <v>5578413.1200000001</v>
      </c>
    </row>
    <row r="56" spans="1:24" x14ac:dyDescent="0.35">
      <c r="A56" s="1051" t="s">
        <v>268</v>
      </c>
      <c r="B56" s="1051" t="s">
        <v>268</v>
      </c>
      <c r="C56" s="1051" t="s">
        <v>847</v>
      </c>
      <c r="D56" s="1051" t="s">
        <v>847</v>
      </c>
      <c r="E56" s="1052" t="s">
        <v>847</v>
      </c>
      <c r="F56" s="1052" t="s">
        <v>847</v>
      </c>
      <c r="G56" s="1052"/>
      <c r="H56" s="1052"/>
      <c r="I56" s="1097">
        <f t="shared" si="12"/>
        <v>48877670.903448924</v>
      </c>
      <c r="J56" s="1097">
        <f>'[1]MMM Main Sheet'!$I$408</f>
        <v>4399898.6900000004</v>
      </c>
      <c r="K56" s="1097">
        <f>'[1]MMM Main Sheet'!$I$409</f>
        <v>4347875.45</v>
      </c>
      <c r="L56" s="1097">
        <f>'[1]MMM Main Sheet'!$I$410</f>
        <v>4352898.16</v>
      </c>
      <c r="M56" s="1097">
        <f>'[1]MMM Main Sheet'!$I$411</f>
        <v>4406406.1000000006</v>
      </c>
      <c r="N56" s="1097">
        <f>'[1]MMM Main Sheet'!$I$412</f>
        <v>4493477.54</v>
      </c>
      <c r="O56" s="1097">
        <f>'[1]MMM Main Sheet'!$I$413</f>
        <v>4557754.87</v>
      </c>
      <c r="P56" s="1097">
        <f>'[1]MMM Main Sheet'!$I$415</f>
        <v>4588439.54</v>
      </c>
      <c r="Q56" s="1097">
        <f>'[1]MMM Main Sheet'!$I$416</f>
        <v>4593795.6800000006</v>
      </c>
      <c r="R56" s="1036">
        <v>3243532.8902456844</v>
      </c>
      <c r="S56" s="1036">
        <v>3279262.1132288775</v>
      </c>
      <c r="T56" s="1036">
        <v>3306484.378358929</v>
      </c>
      <c r="U56" s="1036">
        <v>3307845.4916154323</v>
      </c>
      <c r="V56" s="1054">
        <f t="shared" si="14"/>
        <v>36822051.271833487</v>
      </c>
      <c r="W56" s="1054">
        <f t="shared" si="15"/>
        <v>12055619.631615434</v>
      </c>
      <c r="X56" s="245" t="e">
        <f>+#REF!+#REF!</f>
        <v>#REF!</v>
      </c>
    </row>
    <row r="57" spans="1:24" x14ac:dyDescent="0.35">
      <c r="A57" s="1051" t="s">
        <v>269</v>
      </c>
      <c r="B57" s="1051" t="s">
        <v>269</v>
      </c>
      <c r="C57" s="1051" t="s">
        <v>846</v>
      </c>
      <c r="D57" s="1051" t="s">
        <v>846</v>
      </c>
      <c r="E57" s="1052" t="s">
        <v>846</v>
      </c>
      <c r="F57" s="1052" t="s">
        <v>846</v>
      </c>
      <c r="G57" s="1052"/>
      <c r="H57" s="1052"/>
      <c r="I57" s="1097">
        <f t="shared" si="12"/>
        <v>99928702.189906836</v>
      </c>
      <c r="J57" s="1097">
        <f>'[1]MMM Main Sheet'!$H$408</f>
        <v>10022312.25</v>
      </c>
      <c r="K57" s="1097">
        <f>'[1]MMM Main Sheet'!$H$409</f>
        <v>9347784.5700000003</v>
      </c>
      <c r="L57" s="1097">
        <f>'[1]MMM Main Sheet'!$H$410</f>
        <v>8727618.709999999</v>
      </c>
      <c r="M57" s="1097">
        <f>'[1]MMM Main Sheet'!$H$411</f>
        <v>9012516.1400000006</v>
      </c>
      <c r="N57" s="1097">
        <f>'[1]MMM Main Sheet'!$H$412</f>
        <v>9151540.0800000001</v>
      </c>
      <c r="O57" s="1097">
        <f>'[1]MMM Main Sheet'!$H$413</f>
        <v>9357404.7400000002</v>
      </c>
      <c r="P57" s="1097">
        <f>'[1]MMM Main Sheet'!$H$415</f>
        <v>9109737.0999999996</v>
      </c>
      <c r="Q57" s="1097">
        <f>'[1]MMM Main Sheet'!$H$416</f>
        <v>9125586.1300000008</v>
      </c>
      <c r="R57" s="1036">
        <v>6429768.1750222994</v>
      </c>
      <c r="S57" s="1036">
        <v>6202554.3924454162</v>
      </c>
      <c r="T57" s="1036">
        <v>6525236.1508949399</v>
      </c>
      <c r="U57" s="1036">
        <v>6916643.7515441766</v>
      </c>
      <c r="V57" s="1054">
        <f t="shared" si="14"/>
        <v>73641961.618362665</v>
      </c>
      <c r="W57" s="1054">
        <f t="shared" si="15"/>
        <v>26286740.571544178</v>
      </c>
    </row>
    <row r="58" spans="1:24" x14ac:dyDescent="0.35">
      <c r="A58" s="1038" t="s">
        <v>337</v>
      </c>
      <c r="B58" s="1038" t="s">
        <v>330</v>
      </c>
      <c r="C58" s="1038" t="s">
        <v>841</v>
      </c>
      <c r="D58" s="1038" t="s">
        <v>844</v>
      </c>
      <c r="E58" s="1035" t="s">
        <v>841</v>
      </c>
      <c r="F58" s="1035" t="s">
        <v>844</v>
      </c>
      <c r="G58" s="1035"/>
      <c r="H58" s="1035"/>
      <c r="I58" s="1095">
        <f t="shared" si="12"/>
        <v>61319402.951287635</v>
      </c>
      <c r="J58" s="1036">
        <v>10807869.039999999</v>
      </c>
      <c r="K58" s="1036">
        <v>8905140.7100000009</v>
      </c>
      <c r="L58" s="1036">
        <v>4077298.7899999996</v>
      </c>
      <c r="M58" s="1036">
        <v>4434119.67</v>
      </c>
      <c r="N58" s="1036">
        <v>3966396.9499999997</v>
      </c>
      <c r="O58" s="1036">
        <v>3596424.8400000003</v>
      </c>
      <c r="P58" s="1036">
        <v>4457265.1899999995</v>
      </c>
      <c r="Q58" s="1036">
        <v>4454747.5999999996</v>
      </c>
      <c r="R58" s="1036">
        <v>3396451.6222624439</v>
      </c>
      <c r="S58" s="1036">
        <v>2940093.7668866096</v>
      </c>
      <c r="T58" s="1036">
        <v>3359684.8730920102</v>
      </c>
      <c r="U58" s="1036">
        <v>6923909.8990465775</v>
      </c>
      <c r="V58" s="1036">
        <f t="shared" si="14"/>
        <v>34682483.302241065</v>
      </c>
      <c r="W58" s="1036">
        <f t="shared" si="15"/>
        <v>26636919.649046578</v>
      </c>
    </row>
    <row r="59" spans="1:24" x14ac:dyDescent="0.35">
      <c r="A59" s="1038" t="s">
        <v>339</v>
      </c>
      <c r="B59" s="1038" t="s">
        <v>332</v>
      </c>
      <c r="C59" s="1038" t="s">
        <v>840</v>
      </c>
      <c r="D59" s="1038" t="s">
        <v>843</v>
      </c>
      <c r="E59" s="1035" t="s">
        <v>840</v>
      </c>
      <c r="F59" s="1035" t="s">
        <v>843</v>
      </c>
      <c r="G59" s="1035"/>
      <c r="H59" s="1035"/>
      <c r="I59" s="1095">
        <f t="shared" si="12"/>
        <v>88566497.927074686</v>
      </c>
      <c r="J59" s="1036">
        <v>12384185.630000001</v>
      </c>
      <c r="K59" s="1036">
        <v>10782966.51</v>
      </c>
      <c r="L59" s="1036">
        <v>6531684.7599999998</v>
      </c>
      <c r="M59" s="1036">
        <v>7007956.9000000004</v>
      </c>
      <c r="N59" s="1036">
        <v>6649127.8899999997</v>
      </c>
      <c r="O59" s="1036">
        <v>6038322.1299999999</v>
      </c>
      <c r="P59" s="1036">
        <v>7287053.3700000001</v>
      </c>
      <c r="Q59" s="1036">
        <v>7284932.3799999999</v>
      </c>
      <c r="R59" s="1036">
        <v>5761471.3151515909</v>
      </c>
      <c r="S59" s="1036">
        <v>4955157.6658605449</v>
      </c>
      <c r="T59" s="1036">
        <v>5386633.2402419094</v>
      </c>
      <c r="U59" s="1036">
        <v>8497006.1358206291</v>
      </c>
      <c r="V59" s="1036">
        <f t="shared" si="14"/>
        <v>56902339.65125405</v>
      </c>
      <c r="W59" s="1036">
        <f t="shared" si="15"/>
        <v>31664158.275820628</v>
      </c>
    </row>
    <row r="60" spans="1:24" x14ac:dyDescent="0.35">
      <c r="A60" s="1038" t="s">
        <v>335</v>
      </c>
      <c r="B60" s="1038" t="s">
        <v>328</v>
      </c>
      <c r="C60" s="1038" t="s">
        <v>842</v>
      </c>
      <c r="D60" s="1038" t="s">
        <v>845</v>
      </c>
      <c r="E60" s="1035" t="s">
        <v>842</v>
      </c>
      <c r="F60" s="1035" t="s">
        <v>845</v>
      </c>
      <c r="G60" s="1035"/>
      <c r="H60" s="1035"/>
      <c r="I60" s="1095">
        <f t="shared" si="12"/>
        <v>74408590.307595655</v>
      </c>
      <c r="J60" s="1036">
        <v>9674348.5</v>
      </c>
      <c r="K60" s="1036">
        <v>9535024.5399999991</v>
      </c>
      <c r="L60" s="1036">
        <v>6028612.21</v>
      </c>
      <c r="M60" s="1036">
        <v>5628112.3999999994</v>
      </c>
      <c r="N60" s="1036">
        <v>5642501.1600000001</v>
      </c>
      <c r="O60" s="1036">
        <v>6481105.4100000001</v>
      </c>
      <c r="P60" s="1036">
        <v>6087750.3499999996</v>
      </c>
      <c r="Q60" s="1036">
        <v>6079486.6399999997</v>
      </c>
      <c r="R60" s="1036">
        <v>4076230.2419793243</v>
      </c>
      <c r="S60" s="1036">
        <v>4295803.4103389205</v>
      </c>
      <c r="T60" s="1036">
        <v>4331716.2599978587</v>
      </c>
      <c r="U60" s="1036">
        <v>6547899.1852795435</v>
      </c>
      <c r="V60" s="1036">
        <f t="shared" si="14"/>
        <v>48651318.082316108</v>
      </c>
      <c r="W60" s="1036">
        <f t="shared" si="15"/>
        <v>25757272.225279544</v>
      </c>
    </row>
    <row r="61" spans="1:24" ht="15" thickBot="1" x14ac:dyDescent="0.4">
      <c r="A61" s="247" t="s">
        <v>270</v>
      </c>
      <c r="I61" s="1094">
        <f>SUM(I62:I66)</f>
        <v>75751430.563650623</v>
      </c>
      <c r="J61" s="602"/>
      <c r="K61" s="602"/>
      <c r="L61" s="602"/>
      <c r="M61" s="602"/>
      <c r="N61" s="602"/>
      <c r="O61" s="602"/>
      <c r="P61" s="602"/>
      <c r="Q61" s="602"/>
      <c r="R61" s="602"/>
      <c r="S61" s="602"/>
      <c r="T61" s="602"/>
      <c r="U61" s="602"/>
      <c r="V61" s="603">
        <f>+V60+V59+V58+V57+V56+V55</f>
        <v>267435393.28600734</v>
      </c>
      <c r="W61" s="603">
        <f>+W60+W59+W58+W57+W56+W55</f>
        <v>127979123.47330636</v>
      </c>
      <c r="X61" s="245">
        <f>+V61+W61</f>
        <v>395414516.7593137</v>
      </c>
    </row>
    <row r="62" spans="1:24" ht="15" thickTop="1" x14ac:dyDescent="0.35">
      <c r="A62" s="1040" t="s">
        <v>520</v>
      </c>
      <c r="B62" s="1040" t="s">
        <v>520</v>
      </c>
      <c r="C62" s="1040" t="s">
        <v>519</v>
      </c>
      <c r="D62" s="1040" t="s">
        <v>519</v>
      </c>
      <c r="E62" s="1040" t="s">
        <v>519</v>
      </c>
      <c r="F62" s="1040" t="s">
        <v>519</v>
      </c>
      <c r="G62" s="1040"/>
      <c r="H62" s="1040"/>
      <c r="I62" s="1041">
        <f>SUM(J62:U62)</f>
        <v>1716912</v>
      </c>
      <c r="J62" s="1041">
        <f t="shared" ref="J62:U62" si="16">4769.2*30</f>
        <v>143076</v>
      </c>
      <c r="K62" s="1041">
        <f t="shared" si="16"/>
        <v>143076</v>
      </c>
      <c r="L62" s="1041">
        <f t="shared" si="16"/>
        <v>143076</v>
      </c>
      <c r="M62" s="1041">
        <f t="shared" si="16"/>
        <v>143076</v>
      </c>
      <c r="N62" s="1041">
        <f t="shared" si="16"/>
        <v>143076</v>
      </c>
      <c r="O62" s="1041">
        <f t="shared" si="16"/>
        <v>143076</v>
      </c>
      <c r="P62" s="1041">
        <f t="shared" si="16"/>
        <v>143076</v>
      </c>
      <c r="Q62" s="1041">
        <f t="shared" si="16"/>
        <v>143076</v>
      </c>
      <c r="R62" s="1041">
        <f t="shared" si="16"/>
        <v>143076</v>
      </c>
      <c r="S62" s="1041">
        <f t="shared" si="16"/>
        <v>143076</v>
      </c>
      <c r="T62" s="1041">
        <f t="shared" si="16"/>
        <v>143076</v>
      </c>
      <c r="U62" s="1041">
        <f t="shared" si="16"/>
        <v>143076</v>
      </c>
      <c r="V62" s="1041">
        <f>SUM(L62:T62)</f>
        <v>1287684</v>
      </c>
      <c r="W62" s="1041">
        <f>U62+J62+K62</f>
        <v>429228</v>
      </c>
    </row>
    <row r="63" spans="1:24" x14ac:dyDescent="0.35">
      <c r="A63" s="1051" t="s">
        <v>518</v>
      </c>
      <c r="B63" s="1051" t="s">
        <v>518</v>
      </c>
      <c r="C63" s="1051" t="s">
        <v>517</v>
      </c>
      <c r="D63" s="1051" t="s">
        <v>517</v>
      </c>
      <c r="E63" s="1052" t="s">
        <v>517</v>
      </c>
      <c r="F63" s="1052" t="s">
        <v>517</v>
      </c>
      <c r="G63" s="1052"/>
      <c r="H63" s="1052"/>
      <c r="I63" s="1097">
        <f>SUM(J63:U63)</f>
        <v>2901266.6311237481</v>
      </c>
      <c r="J63" s="1097">
        <f>'[1]MMM Main Sheet'!$H$308</f>
        <v>356390.36000000004</v>
      </c>
      <c r="K63" s="1097">
        <f>'[1]MMM Main Sheet'!$H$309</f>
        <v>315033.44</v>
      </c>
      <c r="L63" s="1097">
        <f>'[1]MMM Main Sheet'!$H$310</f>
        <v>261794.19999999998</v>
      </c>
      <c r="M63" s="1097">
        <f>'[1]MMM Main Sheet'!$H$311</f>
        <v>247460.63</v>
      </c>
      <c r="N63" s="1097">
        <f>'[1]MMM Main Sheet'!$H$312</f>
        <v>234185.49</v>
      </c>
      <c r="O63" s="1097">
        <f>'[1]MMM Main Sheet'!$H$313</f>
        <v>210240.83000000002</v>
      </c>
      <c r="P63" s="1097">
        <f>'[1]MMM Main Sheet'!$H$315</f>
        <v>227202.85</v>
      </c>
      <c r="Q63" s="1097">
        <f>'[1]MMM Main Sheet'!$H$316</f>
        <v>223113.60000000001</v>
      </c>
      <c r="R63" s="1036">
        <v>170277.79156521198</v>
      </c>
      <c r="S63" s="1036">
        <v>172123.27557128784</v>
      </c>
      <c r="T63" s="1036">
        <v>218821.67500613845</v>
      </c>
      <c r="U63" s="1036">
        <v>264622.48898110917</v>
      </c>
      <c r="V63" s="1054">
        <f>SUM(L63:T63)</f>
        <v>1965220.3421426383</v>
      </c>
      <c r="W63" s="1054">
        <f>U63+J63+K63</f>
        <v>936046.28898110916</v>
      </c>
    </row>
    <row r="64" spans="1:24" x14ac:dyDescent="0.35">
      <c r="A64" s="1038" t="s">
        <v>498</v>
      </c>
      <c r="B64" s="1038" t="s">
        <v>503</v>
      </c>
      <c r="C64" s="1038" t="s">
        <v>497</v>
      </c>
      <c r="D64" s="1038" t="s">
        <v>502</v>
      </c>
      <c r="E64" s="1035" t="s">
        <v>497</v>
      </c>
      <c r="F64" s="1035" t="s">
        <v>502</v>
      </c>
      <c r="G64" s="1035"/>
      <c r="H64" s="1035"/>
      <c r="I64" s="1095">
        <f>SUM(J64:U64)</f>
        <v>17993583.54788851</v>
      </c>
      <c r="J64" s="1036">
        <v>3223554.15</v>
      </c>
      <c r="K64" s="1036">
        <v>2531005.33</v>
      </c>
      <c r="L64" s="1036">
        <v>1330577.7000000002</v>
      </c>
      <c r="M64" s="1036">
        <v>1343072.09</v>
      </c>
      <c r="N64" s="1036">
        <v>1103144.49</v>
      </c>
      <c r="O64" s="1036">
        <v>777849.24000000011</v>
      </c>
      <c r="P64" s="1036">
        <v>1057492.79</v>
      </c>
      <c r="Q64" s="1036">
        <v>1039889.37</v>
      </c>
      <c r="R64" s="1036">
        <v>1087683.3755187301</v>
      </c>
      <c r="S64" s="1036">
        <v>986228.3414604587</v>
      </c>
      <c r="T64" s="1036">
        <v>1340610.1882661926</v>
      </c>
      <c r="U64" s="1036">
        <v>2172476.4826431256</v>
      </c>
      <c r="V64" s="1036">
        <f>SUM(L64:T64)</f>
        <v>10066547.585245382</v>
      </c>
      <c r="W64" s="1036">
        <f>U64+J64+K64</f>
        <v>7927035.962643126</v>
      </c>
    </row>
    <row r="65" spans="1:24" x14ac:dyDescent="0.35">
      <c r="A65" s="1038" t="s">
        <v>496</v>
      </c>
      <c r="B65" s="1038" t="s">
        <v>501</v>
      </c>
      <c r="C65" s="1038" t="s">
        <v>495</v>
      </c>
      <c r="D65" s="1038" t="s">
        <v>500</v>
      </c>
      <c r="E65" s="1035" t="s">
        <v>495</v>
      </c>
      <c r="F65" s="1035" t="s">
        <v>500</v>
      </c>
      <c r="G65" s="1035"/>
      <c r="H65" s="1035"/>
      <c r="I65" s="1095">
        <f>SUM(J65:U65)</f>
        <v>27374901.885254037</v>
      </c>
      <c r="J65" s="1036">
        <v>4199571.51</v>
      </c>
      <c r="K65" s="1036">
        <v>3424982.25</v>
      </c>
      <c r="L65" s="1036">
        <v>2100715.9700000002</v>
      </c>
      <c r="M65" s="1036">
        <v>2015181.45</v>
      </c>
      <c r="N65" s="1036">
        <v>1825906.7</v>
      </c>
      <c r="O65" s="1036">
        <v>1371536.9</v>
      </c>
      <c r="P65" s="1036">
        <v>1695577.04</v>
      </c>
      <c r="Q65" s="1036">
        <v>1673938.45</v>
      </c>
      <c r="R65" s="1036">
        <v>1912600.3185384122</v>
      </c>
      <c r="S65" s="1036">
        <v>1695533.0918127154</v>
      </c>
      <c r="T65" s="1036">
        <v>2208618.9660580824</v>
      </c>
      <c r="U65" s="1036">
        <v>3250739.2388448259</v>
      </c>
      <c r="V65" s="1036">
        <f>SUM(L65:T65)</f>
        <v>16499608.886409208</v>
      </c>
      <c r="W65" s="1036">
        <f>U65+J65+K65</f>
        <v>10875292.998844825</v>
      </c>
    </row>
    <row r="66" spans="1:24" x14ac:dyDescent="0.35">
      <c r="A66" s="1038" t="s">
        <v>492</v>
      </c>
      <c r="B66" s="1038" t="s">
        <v>494</v>
      </c>
      <c r="C66" s="1038" t="s">
        <v>499</v>
      </c>
      <c r="D66" s="1038" t="s">
        <v>493</v>
      </c>
      <c r="E66" s="1035" t="s">
        <v>499</v>
      </c>
      <c r="F66" s="1035" t="s">
        <v>493</v>
      </c>
      <c r="G66" s="1035"/>
      <c r="H66" s="1035"/>
      <c r="I66" s="1095">
        <f>SUM(J66:U66)</f>
        <v>25764766.499384329</v>
      </c>
      <c r="J66" s="1036">
        <v>3657126.4</v>
      </c>
      <c r="K66" s="1036">
        <v>3377015.71</v>
      </c>
      <c r="L66" s="1036">
        <v>2026924.21</v>
      </c>
      <c r="M66" s="1036">
        <v>1736201.0599999998</v>
      </c>
      <c r="N66" s="1036">
        <v>1772416.76</v>
      </c>
      <c r="O66" s="1036">
        <v>1867482.28</v>
      </c>
      <c r="P66" s="1036">
        <v>1889660.67</v>
      </c>
      <c r="Q66" s="1036">
        <v>1859251.73</v>
      </c>
      <c r="R66" s="1036">
        <v>1464353.0028593282</v>
      </c>
      <c r="S66" s="1036">
        <v>1559132.0805768038</v>
      </c>
      <c r="T66" s="1036">
        <v>1812631.2345822207</v>
      </c>
      <c r="U66" s="1036">
        <v>2742571.3613659758</v>
      </c>
      <c r="V66" s="1036">
        <f>SUM(L66:T66)</f>
        <v>15988053.028018354</v>
      </c>
      <c r="W66" s="1036">
        <f>U66+J66+K66</f>
        <v>9776713.4713659771</v>
      </c>
    </row>
    <row r="67" spans="1:24" ht="15" thickBot="1" x14ac:dyDescent="0.4">
      <c r="A67" s="247" t="s">
        <v>271</v>
      </c>
      <c r="I67" s="1094">
        <f>SUM(I68:I72)</f>
        <v>102036153.10397182</v>
      </c>
      <c r="J67" s="602"/>
      <c r="K67" s="602"/>
      <c r="L67" s="602"/>
      <c r="M67" s="602"/>
      <c r="N67" s="602"/>
      <c r="O67" s="602"/>
      <c r="P67" s="602"/>
      <c r="Q67" s="602"/>
      <c r="R67" s="602"/>
      <c r="S67" s="602"/>
      <c r="T67" s="602"/>
      <c r="U67" s="602"/>
      <c r="V67" s="603">
        <f>+V66+V65+V64+V63+V62</f>
        <v>45807113.841815591</v>
      </c>
      <c r="W67" s="603">
        <f>+W66+W65+W64+W63+W62</f>
        <v>29944316.72183504</v>
      </c>
      <c r="X67" s="245">
        <f>+V67+W67</f>
        <v>75751430.563650638</v>
      </c>
    </row>
    <row r="68" spans="1:24" ht="15" thickTop="1" x14ac:dyDescent="0.35">
      <c r="A68" s="1040" t="s">
        <v>342</v>
      </c>
      <c r="B68" s="1040" t="s">
        <v>342</v>
      </c>
      <c r="C68" s="1040" t="s">
        <v>1062</v>
      </c>
      <c r="D68" s="1040" t="s">
        <v>1387</v>
      </c>
      <c r="E68" s="1040" t="s">
        <v>1062</v>
      </c>
      <c r="F68" s="1040" t="s">
        <v>1062</v>
      </c>
      <c r="G68" s="1040"/>
      <c r="H68" s="1040"/>
      <c r="I68" s="1041">
        <f>SUM(J68:U68)</f>
        <v>9215118.3599999994</v>
      </c>
      <c r="J68" s="1041">
        <f t="shared" ref="J68:U68" si="17">4769.73*161</f>
        <v>767926.52999999991</v>
      </c>
      <c r="K68" s="1041">
        <f t="shared" si="17"/>
        <v>767926.52999999991</v>
      </c>
      <c r="L68" s="1041">
        <f t="shared" si="17"/>
        <v>767926.52999999991</v>
      </c>
      <c r="M68" s="1041">
        <f t="shared" si="17"/>
        <v>767926.52999999991</v>
      </c>
      <c r="N68" s="1041">
        <f t="shared" si="17"/>
        <v>767926.52999999991</v>
      </c>
      <c r="O68" s="1041">
        <f t="shared" si="17"/>
        <v>767926.52999999991</v>
      </c>
      <c r="P68" s="1041">
        <f t="shared" si="17"/>
        <v>767926.52999999991</v>
      </c>
      <c r="Q68" s="1041">
        <f t="shared" si="17"/>
        <v>767926.52999999991</v>
      </c>
      <c r="R68" s="1041">
        <f t="shared" si="17"/>
        <v>767926.52999999991</v>
      </c>
      <c r="S68" s="1041">
        <f t="shared" si="17"/>
        <v>767926.52999999991</v>
      </c>
      <c r="T68" s="1041">
        <f t="shared" si="17"/>
        <v>767926.52999999991</v>
      </c>
      <c r="U68" s="1041">
        <f t="shared" si="17"/>
        <v>767926.52999999991</v>
      </c>
      <c r="V68" s="1041">
        <f>SUM(L68:T68)</f>
        <v>6911338.7700000005</v>
      </c>
      <c r="W68" s="1041">
        <f>U68+J68+K68</f>
        <v>2303779.59</v>
      </c>
    </row>
    <row r="69" spans="1:24" x14ac:dyDescent="0.35">
      <c r="A69" s="1051" t="s">
        <v>272</v>
      </c>
      <c r="B69" s="1051" t="s">
        <v>272</v>
      </c>
      <c r="C69" s="1051" t="s">
        <v>1063</v>
      </c>
      <c r="D69" s="1051" t="s">
        <v>1063</v>
      </c>
      <c r="E69" s="1052" t="s">
        <v>1063</v>
      </c>
      <c r="F69" s="1052" t="s">
        <v>1063</v>
      </c>
      <c r="G69" s="1052"/>
      <c r="H69" s="1052"/>
      <c r="I69" s="1097">
        <f>SUM(J69:U69)</f>
        <v>3046424.5661131698</v>
      </c>
      <c r="J69" s="1097">
        <f>'[1]MMM Main Sheet'!$H$333</f>
        <v>382368.19</v>
      </c>
      <c r="K69" s="1097">
        <f>'[1]MMM Main Sheet'!$H$334</f>
        <v>374657.26</v>
      </c>
      <c r="L69" s="1097">
        <f>'[1]MMM Main Sheet'!$H$335</f>
        <v>293715.58</v>
      </c>
      <c r="M69" s="1097">
        <f>'[1]MMM Main Sheet'!$H$336</f>
        <v>287146.3</v>
      </c>
      <c r="N69" s="1097">
        <f>'[1]MMM Main Sheet'!$H$337</f>
        <v>246431.88999999998</v>
      </c>
      <c r="O69" s="1097">
        <f>'[1]MMM Main Sheet'!$H$338</f>
        <v>191978.12</v>
      </c>
      <c r="P69" s="1097">
        <f>'[1]MMM Main Sheet'!$H$340</f>
        <v>233043.32</v>
      </c>
      <c r="Q69" s="1097">
        <f>'[1]MMM Main Sheet'!$H$341</f>
        <v>232969.81</v>
      </c>
      <c r="R69" s="1036">
        <v>168247.10820171857</v>
      </c>
      <c r="S69" s="1036">
        <v>172952.18644458242</v>
      </c>
      <c r="T69" s="1036">
        <v>220587.04755164566</v>
      </c>
      <c r="U69" s="1036">
        <v>242327.75391522358</v>
      </c>
      <c r="V69" s="1054">
        <f>SUM(L69:T69)</f>
        <v>2047071.3621979468</v>
      </c>
      <c r="W69" s="1054">
        <f>U69+J69+K69</f>
        <v>999353.2039152236</v>
      </c>
    </row>
    <row r="70" spans="1:24" x14ac:dyDescent="0.35">
      <c r="A70" s="1038" t="s">
        <v>349</v>
      </c>
      <c r="B70" s="1038" t="s">
        <v>345</v>
      </c>
      <c r="C70" s="1038" t="s">
        <v>878</v>
      </c>
      <c r="D70" s="1038" t="s">
        <v>881</v>
      </c>
      <c r="E70" s="1035" t="s">
        <v>878</v>
      </c>
      <c r="F70" s="1035" t="s">
        <v>881</v>
      </c>
      <c r="G70" s="1035"/>
      <c r="H70" s="1035"/>
      <c r="I70" s="1095">
        <f>SUM(J70:U70)</f>
        <v>21700459.630161293</v>
      </c>
      <c r="J70" s="1036">
        <v>3854635.9099999997</v>
      </c>
      <c r="K70" s="1036">
        <v>3092486.0000000005</v>
      </c>
      <c r="L70" s="1036">
        <v>1716077.85</v>
      </c>
      <c r="M70" s="1036">
        <v>1805371.84</v>
      </c>
      <c r="N70" s="1036">
        <v>1384805.2700000003</v>
      </c>
      <c r="O70" s="1036">
        <v>991535</v>
      </c>
      <c r="P70" s="1036">
        <v>1273777.06</v>
      </c>
      <c r="Q70" s="1036">
        <v>1268984</v>
      </c>
      <c r="R70" s="1036">
        <v>1147411.2153252997</v>
      </c>
      <c r="S70" s="1036">
        <v>1059948.7342877395</v>
      </c>
      <c r="T70" s="1036">
        <v>1544070.5693951268</v>
      </c>
      <c r="U70" s="1036">
        <v>2561356.1811531261</v>
      </c>
      <c r="V70" s="1036">
        <f>SUM(L70:T70)</f>
        <v>12191981.539008167</v>
      </c>
      <c r="W70" s="1036">
        <f>U70+J70+K70</f>
        <v>9508478.0911531262</v>
      </c>
    </row>
    <row r="71" spans="1:24" x14ac:dyDescent="0.35">
      <c r="A71" s="1038" t="s">
        <v>353</v>
      </c>
      <c r="B71" s="1038" t="s">
        <v>273</v>
      </c>
      <c r="C71" s="1038" t="s">
        <v>877</v>
      </c>
      <c r="D71" s="1038" t="s">
        <v>880</v>
      </c>
      <c r="E71" s="1035" t="s">
        <v>877</v>
      </c>
      <c r="F71" s="1035" t="s">
        <v>880</v>
      </c>
      <c r="G71" s="1035"/>
      <c r="H71" s="1035"/>
      <c r="I71" s="1095">
        <f>SUM(J71:U71)</f>
        <v>37820541.811174192</v>
      </c>
      <c r="J71" s="1036">
        <v>6301557.5299999993</v>
      </c>
      <c r="K71" s="1036">
        <v>5358691.9799999995</v>
      </c>
      <c r="L71" s="1036">
        <v>3041104.6500000004</v>
      </c>
      <c r="M71" s="1036">
        <v>3021980.07</v>
      </c>
      <c r="N71" s="1036">
        <v>2517326.8099999996</v>
      </c>
      <c r="O71" s="1036">
        <v>1895111.3399999999</v>
      </c>
      <c r="P71" s="1036">
        <v>2323750.91</v>
      </c>
      <c r="Q71" s="1036">
        <v>2314035.09</v>
      </c>
      <c r="R71" s="1036">
        <v>2040142.3320713274</v>
      </c>
      <c r="S71" s="1036">
        <v>1850261.5556881898</v>
      </c>
      <c r="T71" s="1036">
        <v>2655244.8183965497</v>
      </c>
      <c r="U71" s="1036">
        <v>4501334.725018126</v>
      </c>
      <c r="V71" s="1036">
        <f>SUM(L71:T71)</f>
        <v>21658957.576156069</v>
      </c>
      <c r="W71" s="1036">
        <f>U71+J71+K71</f>
        <v>16161584.235018127</v>
      </c>
    </row>
    <row r="72" spans="1:24" x14ac:dyDescent="0.35">
      <c r="A72" s="1038" t="s">
        <v>351</v>
      </c>
      <c r="B72" s="1038" t="s">
        <v>274</v>
      </c>
      <c r="C72" s="1038" t="s">
        <v>879</v>
      </c>
      <c r="D72" s="1038" t="s">
        <v>882</v>
      </c>
      <c r="E72" s="1035" t="s">
        <v>879</v>
      </c>
      <c r="F72" s="1035" t="s">
        <v>882</v>
      </c>
      <c r="G72" s="1035"/>
      <c r="H72" s="1035"/>
      <c r="I72" s="1095">
        <f>SUM(J72:U72)</f>
        <v>30253608.736523163</v>
      </c>
      <c r="J72" s="1036">
        <v>4462529.04</v>
      </c>
      <c r="K72" s="1036">
        <v>4162800.61</v>
      </c>
      <c r="L72" s="1036">
        <v>2658418.14</v>
      </c>
      <c r="M72" s="1036">
        <v>2261546.0000000005</v>
      </c>
      <c r="N72" s="1036">
        <v>2097628.11</v>
      </c>
      <c r="O72" s="1036">
        <v>2059055.78</v>
      </c>
      <c r="P72" s="1036">
        <v>2025284.22</v>
      </c>
      <c r="Q72" s="1036">
        <v>2018162.46</v>
      </c>
      <c r="R72" s="1036">
        <v>1522943.8050134864</v>
      </c>
      <c r="S72" s="1036">
        <v>1672079.9039801033</v>
      </c>
      <c r="T72" s="1036">
        <v>2130325.2104724995</v>
      </c>
      <c r="U72" s="1036">
        <v>3182835.4570570779</v>
      </c>
      <c r="V72" s="1036">
        <f>SUM(L72:T72)</f>
        <v>18445443.62946609</v>
      </c>
      <c r="W72" s="1036">
        <f>U72+J72+K72</f>
        <v>11808165.107057078</v>
      </c>
    </row>
    <row r="73" spans="1:24" ht="15" thickBot="1" x14ac:dyDescent="0.4">
      <c r="A73" s="247" t="s">
        <v>547</v>
      </c>
      <c r="I73" s="1094">
        <f>SUM(I74:I76)</f>
        <v>7215378.4253946152</v>
      </c>
      <c r="J73" s="602"/>
      <c r="K73" s="602"/>
      <c r="L73" s="602"/>
      <c r="M73" s="602"/>
      <c r="N73" s="602"/>
      <c r="O73" s="602"/>
      <c r="P73" s="602"/>
      <c r="Q73" s="602"/>
      <c r="R73" s="602"/>
      <c r="S73" s="602"/>
      <c r="T73" s="602"/>
      <c r="U73" s="602"/>
      <c r="V73" s="603">
        <f>+V72+V71+V70+V69+V68</f>
        <v>61254792.876828276</v>
      </c>
      <c r="W73" s="603">
        <f>+W72+W71+W70+W69+W68</f>
        <v>40781360.227143556</v>
      </c>
      <c r="X73" s="245">
        <f>+V73+W73</f>
        <v>102036153.10397184</v>
      </c>
    </row>
    <row r="74" spans="1:24" ht="15" thickTop="1" x14ac:dyDescent="0.35">
      <c r="A74" s="1038" t="s">
        <v>489</v>
      </c>
      <c r="B74" s="1038" t="s">
        <v>276</v>
      </c>
      <c r="C74" s="1038" t="s">
        <v>488</v>
      </c>
      <c r="D74" s="1038" t="s">
        <v>822</v>
      </c>
      <c r="E74" s="1035" t="s">
        <v>488</v>
      </c>
      <c r="F74" s="1035" t="s">
        <v>822</v>
      </c>
      <c r="G74" s="1035"/>
      <c r="H74" s="1035"/>
      <c r="I74" s="1095">
        <f>SUM(J74:U74)</f>
        <v>1708809.6642567914</v>
      </c>
      <c r="J74" s="1036">
        <v>243318.49</v>
      </c>
      <c r="K74" s="1036">
        <v>186385.27</v>
      </c>
      <c r="L74" s="1036">
        <v>96159.71</v>
      </c>
      <c r="M74" s="1036">
        <v>150263.92000000001</v>
      </c>
      <c r="N74" s="1036">
        <v>113297.56</v>
      </c>
      <c r="O74" s="1036">
        <v>91810.27</v>
      </c>
      <c r="P74" s="1036">
        <f>'[1]MMM Main Sheet'!$N$515</f>
        <v>101310.45</v>
      </c>
      <c r="Q74" s="1036">
        <f>'[1]MMM Main Sheet'!$N$516</f>
        <v>101285.85</v>
      </c>
      <c r="R74" s="1036">
        <v>136835.10332193886</v>
      </c>
      <c r="S74" s="1036">
        <v>125501.14181178412</v>
      </c>
      <c r="T74" s="1036">
        <v>129770.02644447846</v>
      </c>
      <c r="U74" s="1036">
        <v>232871.87267859007</v>
      </c>
      <c r="V74" s="1036">
        <f>SUM(L74:T74)</f>
        <v>1046234.0315782015</v>
      </c>
      <c r="W74" s="1036">
        <f>U74+J74+K74</f>
        <v>662575.63267859002</v>
      </c>
    </row>
    <row r="75" spans="1:24" x14ac:dyDescent="0.35">
      <c r="A75" s="1038" t="s">
        <v>487</v>
      </c>
      <c r="B75" s="1038" t="s">
        <v>277</v>
      </c>
      <c r="C75" s="1038" t="s">
        <v>486</v>
      </c>
      <c r="D75" s="1038" t="s">
        <v>821</v>
      </c>
      <c r="E75" s="1035" t="s">
        <v>486</v>
      </c>
      <c r="F75" s="1035" t="s">
        <v>821</v>
      </c>
      <c r="G75" s="1035"/>
      <c r="H75" s="1035"/>
      <c r="I75" s="1095">
        <f>SUM(J75:U75)</f>
        <v>2656170.8823202485</v>
      </c>
      <c r="J75" s="1036">
        <v>363944.5</v>
      </c>
      <c r="K75" s="1036">
        <v>282415.87</v>
      </c>
      <c r="L75" s="1036">
        <v>164541.21</v>
      </c>
      <c r="M75" s="1036">
        <v>223798.42</v>
      </c>
      <c r="N75" s="1036">
        <v>185810.46</v>
      </c>
      <c r="O75" s="1036">
        <v>153479.26</v>
      </c>
      <c r="P75" s="1036">
        <f>'[1]MMM Main Sheet'!$Q$515</f>
        <v>163389.59</v>
      </c>
      <c r="Q75" s="1036">
        <f>'[1]MMM Main Sheet'!$Q$516</f>
        <v>163359.59</v>
      </c>
      <c r="R75" s="1036">
        <v>227031.96805347383</v>
      </c>
      <c r="S75" s="1036">
        <v>208894.87069623405</v>
      </c>
      <c r="T75" s="1036">
        <v>205758.75514296599</v>
      </c>
      <c r="U75" s="1036">
        <v>313746.38842757442</v>
      </c>
      <c r="V75" s="1036">
        <f>SUM(L75:T75)</f>
        <v>1696064.123892674</v>
      </c>
      <c r="W75" s="1036">
        <f>U75+J75+K75</f>
        <v>960106.75842757442</v>
      </c>
    </row>
    <row r="76" spans="1:24" x14ac:dyDescent="0.35">
      <c r="A76" s="1038" t="s">
        <v>480</v>
      </c>
      <c r="B76" s="1038" t="s">
        <v>278</v>
      </c>
      <c r="C76" s="1038" t="s">
        <v>482</v>
      </c>
      <c r="D76" s="1038" t="s">
        <v>823</v>
      </c>
      <c r="E76" s="1035" t="s">
        <v>482</v>
      </c>
      <c r="F76" s="1035" t="s">
        <v>823</v>
      </c>
      <c r="G76" s="1035"/>
      <c r="H76" s="1035"/>
      <c r="I76" s="1095">
        <f>SUM(J76:U76)</f>
        <v>2850397.8788175751</v>
      </c>
      <c r="J76" s="1036">
        <v>361205.92</v>
      </c>
      <c r="K76" s="1036">
        <v>295956.94</v>
      </c>
      <c r="L76" s="1036">
        <v>197094.92</v>
      </c>
      <c r="M76" s="1036">
        <v>209289.51</v>
      </c>
      <c r="N76" s="1036">
        <v>200919.17</v>
      </c>
      <c r="O76" s="1036">
        <v>210490.38</v>
      </c>
      <c r="P76" s="1036">
        <f>'[1]MMM Main Sheet'!$T$515</f>
        <v>175511.64</v>
      </c>
      <c r="Q76" s="1036">
        <f>'[1]MMM Main Sheet'!$T$516</f>
        <v>175479.67</v>
      </c>
      <c r="R76" s="1036">
        <v>248436.3358843266</v>
      </c>
      <c r="S76" s="1036">
        <v>225731.90793207037</v>
      </c>
      <c r="T76" s="1036">
        <v>201706.52789645176</v>
      </c>
      <c r="U76" s="1036">
        <v>348574.95710472635</v>
      </c>
      <c r="V76" s="1036">
        <f>SUM(L76:T76)</f>
        <v>1844660.0617128487</v>
      </c>
      <c r="W76" s="1036">
        <f>U76+J76+K76</f>
        <v>1005737.8171047263</v>
      </c>
    </row>
    <row r="77" spans="1:24" ht="15" thickBot="1" x14ac:dyDescent="0.4">
      <c r="A77" s="247" t="s">
        <v>1478</v>
      </c>
      <c r="I77" s="1094">
        <f>SUM(I78:I80)</f>
        <v>2012141.0709678172</v>
      </c>
      <c r="J77" s="602"/>
      <c r="K77" s="602"/>
      <c r="L77" s="602"/>
      <c r="M77" s="602"/>
      <c r="N77" s="602"/>
      <c r="O77" s="602"/>
      <c r="P77" s="602"/>
      <c r="Q77" s="602"/>
      <c r="R77" s="602"/>
      <c r="S77" s="602"/>
      <c r="T77" s="602"/>
      <c r="U77" s="602"/>
      <c r="V77" s="603">
        <f>+V76+V75+V74</f>
        <v>4586958.217183724</v>
      </c>
      <c r="W77" s="603">
        <f>+W76+W75+W74</f>
        <v>2628420.2082108911</v>
      </c>
      <c r="X77" s="245">
        <f>+W77+V77</f>
        <v>7215378.4253946152</v>
      </c>
    </row>
    <row r="78" spans="1:24" ht="15" thickTop="1" x14ac:dyDescent="0.35">
      <c r="A78" s="1038" t="s">
        <v>507</v>
      </c>
      <c r="B78" s="1038" t="s">
        <v>443</v>
      </c>
      <c r="C78" s="1038" t="s">
        <v>506</v>
      </c>
      <c r="D78" s="1038" t="s">
        <v>1053</v>
      </c>
      <c r="E78" s="1035" t="s">
        <v>506</v>
      </c>
      <c r="F78" s="1035" t="s">
        <v>1053</v>
      </c>
      <c r="G78" s="1035"/>
      <c r="H78" s="1035"/>
      <c r="I78" s="1095">
        <f>SUM(J78:U78)</f>
        <v>586970.35108304466</v>
      </c>
      <c r="J78" s="1036">
        <v>105202.38</v>
      </c>
      <c r="K78" s="1036">
        <v>80214.430000000008</v>
      </c>
      <c r="L78" s="1036">
        <v>32149.53</v>
      </c>
      <c r="M78" s="1036">
        <v>31588.6</v>
      </c>
      <c r="N78" s="1036">
        <v>26419.71</v>
      </c>
      <c r="O78" s="1036">
        <v>27862.489999999998</v>
      </c>
      <c r="P78" s="1036">
        <v>31961.25</v>
      </c>
      <c r="Q78" s="1036">
        <v>31151.120000000003</v>
      </c>
      <c r="R78" s="1036">
        <v>37061.980504498271</v>
      </c>
      <c r="S78" s="1036">
        <v>35438.315250149361</v>
      </c>
      <c r="T78" s="1036">
        <v>46919.055285943745</v>
      </c>
      <c r="U78" s="1036">
        <v>101001.49004245328</v>
      </c>
      <c r="V78" s="1036">
        <f>SUM(L78:T78)</f>
        <v>300552.05104059132</v>
      </c>
      <c r="W78" s="1036">
        <f>U78+J78+K78</f>
        <v>286418.30004245328</v>
      </c>
    </row>
    <row r="79" spans="1:24" x14ac:dyDescent="0.35">
      <c r="A79" s="1038" t="s">
        <v>505</v>
      </c>
      <c r="B79" s="1038" t="s">
        <v>445</v>
      </c>
      <c r="C79" s="1038" t="s">
        <v>504</v>
      </c>
      <c r="D79" s="1038" t="s">
        <v>1052</v>
      </c>
      <c r="E79" s="1035" t="s">
        <v>504</v>
      </c>
      <c r="F79" s="1035" t="s">
        <v>1052</v>
      </c>
      <c r="G79" s="1035"/>
      <c r="H79" s="1035"/>
      <c r="I79" s="1095">
        <f>SUM(J79:U79)</f>
        <v>793344.75040427502</v>
      </c>
      <c r="J79" s="1036">
        <v>124203.47</v>
      </c>
      <c r="K79" s="1036">
        <v>95300.71</v>
      </c>
      <c r="L79" s="1036">
        <v>44962.79</v>
      </c>
      <c r="M79" s="1036">
        <v>43275.41</v>
      </c>
      <c r="N79" s="1036">
        <v>40439</v>
      </c>
      <c r="O79" s="1036">
        <v>45397.299999999996</v>
      </c>
      <c r="P79" s="1036">
        <v>51589.049999999996</v>
      </c>
      <c r="Q79" s="1036">
        <v>50362.859999999993</v>
      </c>
      <c r="R79" s="1036">
        <v>62204.844070053397</v>
      </c>
      <c r="S79" s="1036">
        <v>53298.195885316862</v>
      </c>
      <c r="T79" s="1036">
        <v>63171.976274133049</v>
      </c>
      <c r="U79" s="1036">
        <v>119139.1441747717</v>
      </c>
      <c r="V79" s="1036">
        <f>SUM(L79:T79)</f>
        <v>454701.42622950324</v>
      </c>
      <c r="W79" s="1036">
        <f>U79+J79+K79</f>
        <v>338643.32417477173</v>
      </c>
    </row>
    <row r="80" spans="1:24" x14ac:dyDescent="0.35">
      <c r="A80" s="1038" t="s">
        <v>509</v>
      </c>
      <c r="B80" s="1038" t="s">
        <v>441</v>
      </c>
      <c r="C80" s="1038" t="s">
        <v>508</v>
      </c>
      <c r="D80" s="1038" t="s">
        <v>1054</v>
      </c>
      <c r="E80" s="1035" t="s">
        <v>508</v>
      </c>
      <c r="F80" s="1035" t="s">
        <v>1054</v>
      </c>
      <c r="G80" s="1035"/>
      <c r="H80" s="1035"/>
      <c r="I80" s="1095">
        <f>SUM(J80:U80)</f>
        <v>631825.96948049741</v>
      </c>
      <c r="J80" s="1036">
        <v>88553.919999999998</v>
      </c>
      <c r="K80" s="1036">
        <v>80006.33</v>
      </c>
      <c r="L80" s="1036">
        <v>40962.61</v>
      </c>
      <c r="M80" s="1036">
        <v>34563.869999999995</v>
      </c>
      <c r="N80" s="1036">
        <v>33473.83</v>
      </c>
      <c r="O80" s="1036">
        <v>47227.259999999995</v>
      </c>
      <c r="P80" s="1036">
        <v>45637.810000000005</v>
      </c>
      <c r="Q80" s="1036">
        <v>41413.570000000007</v>
      </c>
      <c r="R80" s="1036">
        <v>45326.335570665404</v>
      </c>
      <c r="S80" s="1036">
        <v>44358.802046553596</v>
      </c>
      <c r="T80" s="1036">
        <v>42321.033196397875</v>
      </c>
      <c r="U80" s="1036">
        <v>87980.598666880469</v>
      </c>
      <c r="V80" s="1036">
        <f>SUM(L80:T80)</f>
        <v>375285.1208136169</v>
      </c>
      <c r="W80" s="1036">
        <f>U80+J80+K80</f>
        <v>256540.84866688045</v>
      </c>
    </row>
    <row r="81" spans="1:24" ht="15" thickBot="1" x14ac:dyDescent="0.4">
      <c r="A81" s="247" t="s">
        <v>1479</v>
      </c>
      <c r="B81" s="248"/>
      <c r="C81" s="248"/>
      <c r="D81" s="248"/>
      <c r="I81" s="1094">
        <f>I82</f>
        <v>377629.81623147707</v>
      </c>
      <c r="J81" s="606"/>
      <c r="K81" s="606"/>
      <c r="L81" s="606"/>
      <c r="M81" s="638"/>
      <c r="N81" s="638"/>
      <c r="O81" s="638"/>
      <c r="P81" s="606"/>
      <c r="Q81" s="606"/>
      <c r="R81" s="606"/>
      <c r="S81" s="606"/>
      <c r="T81" s="606"/>
      <c r="U81" s="606"/>
      <c r="V81" s="603">
        <f>+V80+V79+V78</f>
        <v>1130538.5980837115</v>
      </c>
      <c r="W81" s="603">
        <f>+W80+W79+W78</f>
        <v>881602.47288410552</v>
      </c>
      <c r="X81" s="245">
        <f>+W81+V81</f>
        <v>2012141.070967817</v>
      </c>
    </row>
    <row r="82" spans="1:24" ht="15" thickTop="1" x14ac:dyDescent="0.35">
      <c r="A82" s="1039" t="s">
        <v>1488</v>
      </c>
      <c r="B82" s="1039" t="s">
        <v>1488</v>
      </c>
      <c r="C82" s="1039" t="s">
        <v>1481</v>
      </c>
      <c r="D82" s="1039" t="s">
        <v>1481</v>
      </c>
      <c r="E82" s="1035"/>
      <c r="F82" s="1035"/>
      <c r="G82" s="1035"/>
      <c r="H82" s="1035"/>
      <c r="I82" s="1095">
        <f>SUM(J82:U82)</f>
        <v>377629.81623147707</v>
      </c>
      <c r="J82" s="1036">
        <v>58090.590000000004</v>
      </c>
      <c r="K82" s="1036">
        <v>39048.839999999997</v>
      </c>
      <c r="L82" s="1036">
        <v>33365.61</v>
      </c>
      <c r="M82" s="1036">
        <v>14879.07</v>
      </c>
      <c r="N82" s="1036">
        <v>11104.199999999999</v>
      </c>
      <c r="O82" s="1036">
        <v>14047.65</v>
      </c>
      <c r="P82" s="1036">
        <v>17844.84</v>
      </c>
      <c r="Q82" s="1036">
        <v>17844.84</v>
      </c>
      <c r="R82" s="1036">
        <v>23702.811600061159</v>
      </c>
      <c r="S82" s="1036">
        <v>45078.824765284808</v>
      </c>
      <c r="T82" s="1036">
        <v>43710.536837424857</v>
      </c>
      <c r="U82" s="1036">
        <v>58912.003028706327</v>
      </c>
      <c r="V82" s="1036">
        <f>SUM(L82:T82)</f>
        <v>221578.38320277081</v>
      </c>
      <c r="W82" s="1036">
        <f>U82+J82+K82</f>
        <v>156051.43302870632</v>
      </c>
    </row>
    <row r="83" spans="1:24" x14ac:dyDescent="0.35">
      <c r="A83" s="1038" t="s">
        <v>485</v>
      </c>
      <c r="B83" s="1038" t="s">
        <v>485</v>
      </c>
      <c r="C83" s="1038"/>
      <c r="D83" s="1038"/>
      <c r="E83" s="1038"/>
      <c r="F83" s="1038"/>
      <c r="G83" s="1038"/>
      <c r="H83" s="1038"/>
      <c r="I83" s="1036">
        <f>SUM(J83:U83)</f>
        <v>118809011.0142608</v>
      </c>
      <c r="J83" s="1036">
        <v>11021755.537323076</v>
      </c>
      <c r="K83" s="1036">
        <v>11046388.342053546</v>
      </c>
      <c r="L83" s="1036">
        <v>10703530.75411975</v>
      </c>
      <c r="M83" s="1036">
        <v>11066143.398181466</v>
      </c>
      <c r="N83" s="1036">
        <v>10755976.166955307</v>
      </c>
      <c r="O83" s="1036">
        <v>10556335.720134605</v>
      </c>
      <c r="P83" s="1036">
        <v>10572019.093030535</v>
      </c>
      <c r="Q83" s="1036">
        <v>10653287.47985491</v>
      </c>
      <c r="R83" s="1036">
        <v>8320907.8539405102</v>
      </c>
      <c r="S83" s="1036">
        <v>8014576.7815108495</v>
      </c>
      <c r="T83" s="1036">
        <v>8042820.0718767047</v>
      </c>
      <c r="U83" s="1036">
        <v>8055269.8152795359</v>
      </c>
      <c r="V83" s="1036">
        <f>SUM(L83:T83)</f>
        <v>88685597.319604635</v>
      </c>
      <c r="W83" s="1036">
        <f>U83+J83+K83</f>
        <v>30123413.694656156</v>
      </c>
      <c r="X83" s="245">
        <f>+V83+W83</f>
        <v>118809011.0142608</v>
      </c>
    </row>
    <row r="84" spans="1:24" x14ac:dyDescent="0.35">
      <c r="A84" s="1040" t="s">
        <v>1940</v>
      </c>
      <c r="B84" s="1040"/>
      <c r="C84" s="1040"/>
      <c r="D84" s="1040"/>
      <c r="E84" s="1040"/>
      <c r="F84" s="1040"/>
      <c r="G84" s="1040"/>
      <c r="H84" s="1040"/>
      <c r="I84" s="1041">
        <f>SUM(J84:U84)</f>
        <v>0</v>
      </c>
      <c r="J84" s="1041">
        <v>0</v>
      </c>
      <c r="K84" s="1041">
        <v>0</v>
      </c>
      <c r="L84" s="1041">
        <v>0</v>
      </c>
      <c r="M84" s="1041">
        <v>0</v>
      </c>
      <c r="N84" s="1041">
        <v>0</v>
      </c>
      <c r="O84" s="1041">
        <v>0</v>
      </c>
      <c r="P84" s="1041">
        <v>0</v>
      </c>
      <c r="Q84" s="1041">
        <v>0</v>
      </c>
      <c r="R84" s="1113">
        <v>0</v>
      </c>
      <c r="S84" s="1113">
        <v>0</v>
      </c>
      <c r="T84" s="1113">
        <v>0</v>
      </c>
      <c r="U84" s="1113">
        <v>0</v>
      </c>
      <c r="V84" s="1041">
        <f>SUM(L84:T84)</f>
        <v>0</v>
      </c>
      <c r="W84" s="1041">
        <f>U84+J84+K84</f>
        <v>0</v>
      </c>
    </row>
    <row r="85" spans="1:24" x14ac:dyDescent="0.35">
      <c r="A85" s="275" t="s">
        <v>1931</v>
      </c>
      <c r="B85" s="275" t="s">
        <v>485</v>
      </c>
      <c r="C85" s="275"/>
      <c r="D85" s="275"/>
      <c r="E85" s="346"/>
      <c r="F85" s="346"/>
      <c r="G85" s="346"/>
      <c r="H85" s="346"/>
      <c r="I85" s="1096">
        <f>SUM(J85:U85)</f>
        <v>131960270.46999998</v>
      </c>
      <c r="J85" s="638">
        <v>10996689.205833333</v>
      </c>
      <c r="K85" s="638">
        <v>10996689.205833333</v>
      </c>
      <c r="L85" s="638">
        <v>10996689.205833333</v>
      </c>
      <c r="M85" s="638">
        <v>10996689.205833333</v>
      </c>
      <c r="N85" s="638">
        <v>10996689.205833333</v>
      </c>
      <c r="O85" s="638">
        <v>10996689.205833333</v>
      </c>
      <c r="P85" s="638">
        <v>10996689.205833333</v>
      </c>
      <c r="Q85" s="638">
        <v>10996689.205833333</v>
      </c>
      <c r="R85" s="638">
        <v>10996689.205833333</v>
      </c>
      <c r="S85" s="638">
        <v>10996689.205833333</v>
      </c>
      <c r="T85" s="638">
        <v>10996689.205833333</v>
      </c>
      <c r="U85" s="638">
        <v>10996689.205833333</v>
      </c>
      <c r="V85" s="1037">
        <f>SUM(L85:T85)</f>
        <v>98970202.852499992</v>
      </c>
      <c r="W85" s="1037">
        <f>U85+J85+K85</f>
        <v>32990067.6175</v>
      </c>
    </row>
    <row r="86" spans="1:24" x14ac:dyDescent="0.35">
      <c r="A86" s="577"/>
      <c r="B86" s="867"/>
      <c r="C86" s="867"/>
      <c r="D86" s="867"/>
      <c r="E86" s="867"/>
      <c r="F86" s="867"/>
      <c r="G86" s="867"/>
      <c r="H86" s="867"/>
      <c r="I86" s="867"/>
      <c r="J86" s="867"/>
      <c r="K86" s="867"/>
      <c r="L86" s="867"/>
      <c r="M86" s="867"/>
      <c r="N86" s="867"/>
      <c r="O86" s="867"/>
      <c r="P86" s="867"/>
      <c r="Q86" s="867"/>
      <c r="R86" s="867"/>
      <c r="S86" s="867"/>
      <c r="T86" s="867"/>
      <c r="U86" s="867"/>
      <c r="V86" s="875"/>
      <c r="W86" s="875"/>
    </row>
    <row r="87" spans="1:24" ht="15.5" x14ac:dyDescent="0.35">
      <c r="A87" s="867"/>
      <c r="B87" s="867"/>
      <c r="C87" s="603"/>
      <c r="D87" s="603"/>
      <c r="E87" s="603"/>
      <c r="F87" s="603"/>
      <c r="G87" s="603"/>
      <c r="H87" s="603"/>
      <c r="I87" s="1044" t="s">
        <v>1901</v>
      </c>
      <c r="J87" s="867"/>
      <c r="K87" s="867"/>
      <c r="L87" s="867"/>
      <c r="M87" s="867"/>
      <c r="N87" s="867"/>
      <c r="O87" s="867"/>
      <c r="P87" s="867"/>
      <c r="Q87" s="867"/>
      <c r="R87" s="867"/>
      <c r="S87" s="867"/>
      <c r="T87" s="867"/>
      <c r="U87" s="867"/>
      <c r="V87" s="875"/>
      <c r="W87" s="875"/>
    </row>
    <row r="88" spans="1:24" ht="15" thickBot="1" x14ac:dyDescent="0.4">
      <c r="A88" s="330"/>
      <c r="B88" s="330"/>
      <c r="I88" s="1098" t="s">
        <v>295</v>
      </c>
      <c r="J88" s="852">
        <f t="shared" ref="J88:U88" si="18">SUM(J89:J92)</f>
        <v>463308986.01410407</v>
      </c>
      <c r="K88" s="852">
        <f t="shared" si="18"/>
        <v>429663855.8188054</v>
      </c>
      <c r="L88" s="852">
        <f t="shared" si="18"/>
        <v>335411686.93332815</v>
      </c>
      <c r="M88" s="852">
        <f t="shared" si="18"/>
        <v>338560669.93004632</v>
      </c>
      <c r="N88" s="852">
        <f t="shared" si="18"/>
        <v>331310012.21993709</v>
      </c>
      <c r="O88" s="852">
        <f t="shared" si="18"/>
        <v>330079454.027228</v>
      </c>
      <c r="P88" s="852">
        <f t="shared" si="18"/>
        <v>330371628.31019682</v>
      </c>
      <c r="Q88" s="852">
        <f t="shared" si="18"/>
        <v>272673052.49050093</v>
      </c>
      <c r="R88" s="852">
        <f t="shared" si="18"/>
        <v>211806091.37586704</v>
      </c>
      <c r="S88" s="852">
        <f t="shared" si="18"/>
        <v>207830145.33144781</v>
      </c>
      <c r="T88" s="852">
        <f t="shared" si="18"/>
        <v>270426387.26639318</v>
      </c>
      <c r="U88" s="852">
        <f t="shared" si="18"/>
        <v>364724267.20216429</v>
      </c>
      <c r="V88" s="853">
        <f>SUM(J88:U88)</f>
        <v>3886166236.9200187</v>
      </c>
      <c r="W88" s="877"/>
    </row>
    <row r="89" spans="1:24" ht="15" thickTop="1" x14ac:dyDescent="0.35">
      <c r="A89" s="330"/>
      <c r="B89" s="330"/>
      <c r="I89" s="1099" t="s">
        <v>542</v>
      </c>
      <c r="J89" s="845">
        <f t="shared" ref="J89:U89" si="19">+J4+J5+J11+J12+J27</f>
        <v>188670456.89014977</v>
      </c>
      <c r="K89" s="883">
        <f t="shared" si="19"/>
        <v>176615055.25661138</v>
      </c>
      <c r="L89" s="883">
        <f t="shared" si="19"/>
        <v>161390076.02064377</v>
      </c>
      <c r="M89" s="883">
        <f t="shared" si="19"/>
        <v>162023822.04497227</v>
      </c>
      <c r="N89" s="883">
        <f t="shared" si="19"/>
        <v>161445583.23628202</v>
      </c>
      <c r="O89" s="883">
        <f t="shared" si="19"/>
        <v>163507243.44656816</v>
      </c>
      <c r="P89" s="883">
        <f t="shared" si="19"/>
        <v>154358913.25482577</v>
      </c>
      <c r="Q89" s="883">
        <f t="shared" si="19"/>
        <v>97752549.658486366</v>
      </c>
      <c r="R89" s="883">
        <f t="shared" si="19"/>
        <v>78068608.032135069</v>
      </c>
      <c r="S89" s="883">
        <f t="shared" si="19"/>
        <v>78725326.965661556</v>
      </c>
      <c r="T89" s="883">
        <f t="shared" si="19"/>
        <v>134015338.56224358</v>
      </c>
      <c r="U89" s="846">
        <f t="shared" si="19"/>
        <v>166538035.50965783</v>
      </c>
      <c r="V89" s="855">
        <f>SUM(J89:U89)</f>
        <v>1723111008.8782372</v>
      </c>
      <c r="W89" s="867"/>
    </row>
    <row r="90" spans="1:24" x14ac:dyDescent="0.35">
      <c r="A90" s="330"/>
      <c r="B90" s="330"/>
      <c r="I90" s="1099" t="s">
        <v>297</v>
      </c>
      <c r="J90" s="846">
        <f t="shared" ref="J90:U90" si="20">SUM(J29:J82,J14:J25,J8:J9,J85)</f>
        <v>258263053.08656776</v>
      </c>
      <c r="K90" s="846">
        <f t="shared" si="20"/>
        <v>236648691.72007698</v>
      </c>
      <c r="L90" s="846">
        <f t="shared" si="20"/>
        <v>159103423.19252339</v>
      </c>
      <c r="M90" s="846">
        <f t="shared" si="20"/>
        <v>161256047.52085137</v>
      </c>
      <c r="N90" s="846">
        <f t="shared" si="20"/>
        <v>154893795.85065857</v>
      </c>
      <c r="O90" s="846">
        <f t="shared" si="20"/>
        <v>151801217.89448398</v>
      </c>
      <c r="P90" s="846">
        <f t="shared" si="20"/>
        <v>161226038.99629933</v>
      </c>
      <c r="Q90" s="846">
        <f t="shared" si="20"/>
        <v>160052558.38611844</v>
      </c>
      <c r="R90" s="846">
        <f t="shared" si="20"/>
        <v>121201918.52375025</v>
      </c>
      <c r="S90" s="846">
        <f t="shared" si="20"/>
        <v>116875584.61823419</v>
      </c>
      <c r="T90" s="846">
        <f t="shared" si="20"/>
        <v>124153571.66623172</v>
      </c>
      <c r="U90" s="846">
        <f t="shared" si="20"/>
        <v>184777241.37716347</v>
      </c>
      <c r="V90" s="855">
        <f>SUM(J90:U90)</f>
        <v>1990253142.8329592</v>
      </c>
      <c r="W90" s="867"/>
    </row>
    <row r="91" spans="1:24" x14ac:dyDescent="0.35">
      <c r="A91" s="330"/>
      <c r="B91" s="330"/>
      <c r="I91" s="1099" t="s">
        <v>298</v>
      </c>
      <c r="J91" s="845">
        <f t="shared" ref="J91:U91" si="21">+J3+J7</f>
        <v>5353720.5000634883</v>
      </c>
      <c r="K91" s="883">
        <f t="shared" si="21"/>
        <v>5353720.5000634883</v>
      </c>
      <c r="L91" s="883">
        <f t="shared" si="21"/>
        <v>4214656.9660412157</v>
      </c>
      <c r="M91" s="883">
        <f t="shared" si="21"/>
        <v>4214656.9660412157</v>
      </c>
      <c r="N91" s="883">
        <f t="shared" si="21"/>
        <v>4214656.9660412157</v>
      </c>
      <c r="O91" s="883">
        <f t="shared" si="21"/>
        <v>4214656.9660412157</v>
      </c>
      <c r="P91" s="883">
        <f t="shared" si="21"/>
        <v>4214656.9660412157</v>
      </c>
      <c r="Q91" s="883">
        <f t="shared" si="21"/>
        <v>4214656.9660412157</v>
      </c>
      <c r="R91" s="883">
        <f t="shared" si="21"/>
        <v>4214656.9660412157</v>
      </c>
      <c r="S91" s="883">
        <f t="shared" si="21"/>
        <v>4214656.9660412157</v>
      </c>
      <c r="T91" s="883">
        <f t="shared" si="21"/>
        <v>4214656.9660412157</v>
      </c>
      <c r="U91" s="846">
        <f t="shared" si="21"/>
        <v>5353720.5000634883</v>
      </c>
      <c r="V91" s="855">
        <f>SUM(J91:U91)</f>
        <v>53993074.1945614</v>
      </c>
      <c r="W91" s="867"/>
    </row>
    <row r="92" spans="1:24" x14ac:dyDescent="0.35">
      <c r="A92" s="330"/>
      <c r="B92" s="330"/>
      <c r="I92" s="1100" t="s">
        <v>543</v>
      </c>
      <c r="J92" s="847">
        <f t="shared" ref="J92:U92" si="22">+J83</f>
        <v>11021755.537323076</v>
      </c>
      <c r="K92" s="721">
        <f t="shared" si="22"/>
        <v>11046388.342053546</v>
      </c>
      <c r="L92" s="721">
        <f t="shared" si="22"/>
        <v>10703530.75411975</v>
      </c>
      <c r="M92" s="721">
        <f t="shared" si="22"/>
        <v>11066143.398181466</v>
      </c>
      <c r="N92" s="721">
        <f t="shared" si="22"/>
        <v>10755976.166955307</v>
      </c>
      <c r="O92" s="721">
        <f t="shared" si="22"/>
        <v>10556335.720134605</v>
      </c>
      <c r="P92" s="721">
        <f t="shared" si="22"/>
        <v>10572019.093030535</v>
      </c>
      <c r="Q92" s="721">
        <f t="shared" si="22"/>
        <v>10653287.47985491</v>
      </c>
      <c r="R92" s="721">
        <f t="shared" si="22"/>
        <v>8320907.8539405102</v>
      </c>
      <c r="S92" s="721">
        <f t="shared" si="22"/>
        <v>8014576.7815108495</v>
      </c>
      <c r="T92" s="721">
        <f t="shared" si="22"/>
        <v>8042820.0718767047</v>
      </c>
      <c r="U92" s="848">
        <f t="shared" si="22"/>
        <v>8055269.8152795359</v>
      </c>
      <c r="V92" s="856">
        <f>SUM(J92:U92)</f>
        <v>118809011.0142608</v>
      </c>
      <c r="W92" s="1101"/>
    </row>
    <row r="93" spans="1:24" x14ac:dyDescent="0.35">
      <c r="A93" s="330"/>
      <c r="B93" s="330"/>
      <c r="I93" s="1102"/>
      <c r="J93" s="1103"/>
      <c r="K93" s="1103"/>
      <c r="L93" s="1103"/>
      <c r="M93" s="1103"/>
      <c r="N93" s="1103"/>
      <c r="O93" s="1103"/>
      <c r="P93" s="1103"/>
      <c r="Q93" s="1103"/>
      <c r="R93" s="1103"/>
      <c r="S93" s="1103"/>
      <c r="T93" s="1103"/>
      <c r="U93" s="1103"/>
      <c r="V93" s="1050"/>
      <c r="W93" s="1104"/>
    </row>
    <row r="94" spans="1:24" ht="15.5" x14ac:dyDescent="0.35">
      <c r="A94" s="330"/>
      <c r="B94" s="330"/>
      <c r="D94" s="381"/>
      <c r="I94" s="1049" t="s">
        <v>1918</v>
      </c>
      <c r="J94" s="869"/>
      <c r="K94" s="869"/>
      <c r="L94" s="869"/>
      <c r="M94" s="869"/>
      <c r="N94" s="869"/>
      <c r="O94" s="869"/>
      <c r="P94" s="869"/>
      <c r="Q94" s="869"/>
      <c r="R94" s="869"/>
      <c r="S94" s="869"/>
      <c r="T94" s="869"/>
      <c r="U94" s="869"/>
      <c r="V94" s="869"/>
      <c r="W94" s="869"/>
      <c r="X94" s="594"/>
    </row>
    <row r="95" spans="1:24" ht="15" thickBot="1" x14ac:dyDescent="0.4">
      <c r="A95" s="330"/>
      <c r="B95" s="330"/>
      <c r="I95" s="849" t="s">
        <v>295</v>
      </c>
      <c r="J95" s="850">
        <f t="shared" ref="J95:U95" si="23">SUM(J96:J99)</f>
        <v>520759300.27985305</v>
      </c>
      <c r="K95" s="850">
        <f t="shared" si="23"/>
        <v>482942173.9403373</v>
      </c>
      <c r="L95" s="850">
        <f t="shared" si="23"/>
        <v>377002736.11306077</v>
      </c>
      <c r="M95" s="850">
        <f t="shared" si="23"/>
        <v>380542193.00137204</v>
      </c>
      <c r="N95" s="850">
        <f t="shared" si="23"/>
        <v>372392453.73520935</v>
      </c>
      <c r="O95" s="850">
        <f t="shared" si="23"/>
        <v>371009306.32660425</v>
      </c>
      <c r="P95" s="850">
        <f t="shared" si="23"/>
        <v>371337710.22066128</v>
      </c>
      <c r="Q95" s="850">
        <f t="shared" si="23"/>
        <v>306484510.99932307</v>
      </c>
      <c r="R95" s="850">
        <f t="shared" si="23"/>
        <v>238070046.70647454</v>
      </c>
      <c r="S95" s="850">
        <f t="shared" si="23"/>
        <v>233601083.35254738</v>
      </c>
      <c r="T95" s="850">
        <f t="shared" si="23"/>
        <v>303959259.28742599</v>
      </c>
      <c r="U95" s="850">
        <f t="shared" si="23"/>
        <v>409950076.33523273</v>
      </c>
      <c r="V95" s="850">
        <f>SUM(J95:U95)</f>
        <v>4368050850.2981014</v>
      </c>
      <c r="W95" s="869"/>
    </row>
    <row r="96" spans="1:24" ht="15" thickTop="1" x14ac:dyDescent="0.35">
      <c r="A96" s="330"/>
      <c r="B96" s="330"/>
      <c r="I96" s="860" t="s">
        <v>296</v>
      </c>
      <c r="J96" s="622">
        <f>J89*(1+'MSCOA - Tariff Structure'!$S$2)</f>
        <v>212065593.54452837</v>
      </c>
      <c r="K96" s="622">
        <f>K89*(1+'MSCOA - Tariff Structure'!$S$2)</f>
        <v>198515322.10843122</v>
      </c>
      <c r="L96" s="622">
        <f>L89*(1+'MSCOA - Tariff Structure'!$S$2)</f>
        <v>181402445.44720361</v>
      </c>
      <c r="M96" s="622">
        <f>M89*(1+'MSCOA - Tariff Structure'!$S$2)</f>
        <v>182114775.97854885</v>
      </c>
      <c r="N96" s="622">
        <f>N89*(1+'MSCOA - Tariff Structure'!$S$2)</f>
        <v>181464835.55758101</v>
      </c>
      <c r="O96" s="622">
        <f>O89*(1+'MSCOA - Tariff Structure'!$S$2)</f>
        <v>183782141.63394263</v>
      </c>
      <c r="P96" s="622">
        <f>P89*(1+'MSCOA - Tariff Structure'!$S$2)</f>
        <v>173499418.49842417</v>
      </c>
      <c r="Q96" s="622">
        <f>Q89*(1+'MSCOA - Tariff Structure'!$S$2)</f>
        <v>109873865.81613868</v>
      </c>
      <c r="R96" s="622">
        <f>R89*(1+'MSCOA - Tariff Structure'!$S$2)</f>
        <v>87749115.428119823</v>
      </c>
      <c r="S96" s="622">
        <f>S89*(1+'MSCOA - Tariff Structure'!$S$2)</f>
        <v>88487267.509403601</v>
      </c>
      <c r="T96" s="622">
        <f>T89*(1+'MSCOA - Tariff Structure'!$S$2)</f>
        <v>150633240.54396179</v>
      </c>
      <c r="U96" s="622">
        <f>U89*(1+'MSCOA - Tariff Structure'!$S$2)</f>
        <v>187188751.91285542</v>
      </c>
      <c r="V96" s="865">
        <f>SUM(J96:U96)</f>
        <v>1936776773.9791396</v>
      </c>
      <c r="W96" s="869"/>
    </row>
    <row r="97" spans="1:23" x14ac:dyDescent="0.35">
      <c r="A97" s="330"/>
      <c r="B97" s="330"/>
      <c r="I97" s="860" t="s">
        <v>297</v>
      </c>
      <c r="J97" s="622">
        <f>J90*(1+'MSCOA - Tariff Structure'!$S$2)</f>
        <v>290287671.66930217</v>
      </c>
      <c r="K97" s="622">
        <f>K90*(1+'MSCOA - Tariff Structure'!$S$2)</f>
        <v>265993129.49336654</v>
      </c>
      <c r="L97" s="622">
        <f>L90*(1+'MSCOA - Tariff Structure'!$S$2)</f>
        <v>178832247.66839629</v>
      </c>
      <c r="M97" s="622">
        <f>M90*(1+'MSCOA - Tariff Structure'!$S$2)</f>
        <v>181251797.41343695</v>
      </c>
      <c r="N97" s="622">
        <f>N90*(1+'MSCOA - Tariff Structure'!$S$2)</f>
        <v>174100626.53614023</v>
      </c>
      <c r="O97" s="622">
        <f>O90*(1+'MSCOA - Tariff Structure'!$S$2)</f>
        <v>170624568.91340002</v>
      </c>
      <c r="P97" s="622">
        <f>P90*(1+'MSCOA - Tariff Structure'!$S$2)</f>
        <v>181218067.83184046</v>
      </c>
      <c r="Q97" s="622">
        <f>Q90*(1+'MSCOA - Tariff Structure'!$S$2)</f>
        <v>179899075.62599716</v>
      </c>
      <c r="R97" s="622">
        <f>R90*(1+'MSCOA - Tariff Structure'!$S$2)</f>
        <v>136230956.42069528</v>
      </c>
      <c r="S97" s="622">
        <f>S90*(1+'MSCOA - Tariff Structure'!$S$2)</f>
        <v>131368157.11089525</v>
      </c>
      <c r="T97" s="622">
        <f>T90*(1+'MSCOA - Tariff Structure'!$S$2)</f>
        <v>139548614.55284446</v>
      </c>
      <c r="U97" s="622">
        <f>U90*(1+'MSCOA - Tariff Structure'!$S$2)</f>
        <v>207689619.30793175</v>
      </c>
      <c r="V97" s="865">
        <f>SUM(J97:U97)</f>
        <v>2237044532.5442462</v>
      </c>
      <c r="W97" s="869"/>
    </row>
    <row r="98" spans="1:23" x14ac:dyDescent="0.35">
      <c r="A98" s="330"/>
      <c r="B98" s="330"/>
      <c r="I98" s="860" t="s">
        <v>298</v>
      </c>
      <c r="J98" s="622">
        <f>J91*(1+'MSCOA - Tariff Structure'!$S$2)</f>
        <v>6017581.8420713618</v>
      </c>
      <c r="K98" s="622">
        <f>K91*(1+'MSCOA - Tariff Structure'!$S$2)</f>
        <v>6017581.8420713618</v>
      </c>
      <c r="L98" s="622">
        <f>L91*(1+'MSCOA - Tariff Structure'!$S$2)</f>
        <v>4737274.4298303267</v>
      </c>
      <c r="M98" s="622">
        <f>M91*(1+'MSCOA - Tariff Structure'!$S$2)</f>
        <v>4737274.4298303267</v>
      </c>
      <c r="N98" s="622">
        <f>N91*(1+'MSCOA - Tariff Structure'!$S$2)</f>
        <v>4737274.4298303267</v>
      </c>
      <c r="O98" s="622">
        <f>O91*(1+'MSCOA - Tariff Structure'!$S$2)</f>
        <v>4737274.4298303267</v>
      </c>
      <c r="P98" s="622">
        <f>P91*(1+'MSCOA - Tariff Structure'!$S$2)</f>
        <v>4737274.4298303267</v>
      </c>
      <c r="Q98" s="622">
        <f>Q91*(1+'MSCOA - Tariff Structure'!$S$2)</f>
        <v>4737274.4298303267</v>
      </c>
      <c r="R98" s="622">
        <f>R91*(1+'MSCOA - Tariff Structure'!$S$2)</f>
        <v>4737274.4298303267</v>
      </c>
      <c r="S98" s="622">
        <f>S91*(1+'MSCOA - Tariff Structure'!$S$2)</f>
        <v>4737274.4298303267</v>
      </c>
      <c r="T98" s="622">
        <f>T91*(1+'MSCOA - Tariff Structure'!$S$2)</f>
        <v>4737274.4298303267</v>
      </c>
      <c r="U98" s="622">
        <f>U91*(1+'MSCOA - Tariff Structure'!$S$2)</f>
        <v>6017581.8420713618</v>
      </c>
      <c r="V98" s="865">
        <f>SUM(J98:U98)</f>
        <v>60688215.394687034</v>
      </c>
      <c r="W98" s="869"/>
    </row>
    <row r="99" spans="1:23" x14ac:dyDescent="0.35">
      <c r="A99" s="330"/>
      <c r="B99" s="330"/>
      <c r="I99" s="861" t="s">
        <v>543</v>
      </c>
      <c r="J99" s="862">
        <f>J92*(1+'MSCOA - Tariff Structure'!$S$2)</f>
        <v>12388453.223951139</v>
      </c>
      <c r="K99" s="862">
        <f>K92*(1+'MSCOA - Tariff Structure'!$S$2)</f>
        <v>12416140.496468186</v>
      </c>
      <c r="L99" s="862">
        <f>L92*(1+'MSCOA - Tariff Structure'!$S$2)</f>
        <v>12030768.5676306</v>
      </c>
      <c r="M99" s="862">
        <f>M92*(1+'MSCOA - Tariff Structure'!$S$2)</f>
        <v>12438345.179555969</v>
      </c>
      <c r="N99" s="862">
        <f>N92*(1+'MSCOA - Tariff Structure'!$S$2)</f>
        <v>12089717.211657766</v>
      </c>
      <c r="O99" s="862">
        <f>O92*(1+'MSCOA - Tariff Structure'!$S$2)</f>
        <v>11865321.349431297</v>
      </c>
      <c r="P99" s="862">
        <f>P92*(1+'MSCOA - Tariff Structure'!$S$2)</f>
        <v>11882949.460566321</v>
      </c>
      <c r="Q99" s="862">
        <f>Q92*(1+'MSCOA - Tariff Structure'!$S$2)</f>
        <v>11974295.12735692</v>
      </c>
      <c r="R99" s="862">
        <f>R92*(1+'MSCOA - Tariff Structure'!$S$2)</f>
        <v>9352700.4278291352</v>
      </c>
      <c r="S99" s="862">
        <f>S92*(1+'MSCOA - Tariff Structure'!$S$2)</f>
        <v>9008384.3024181966</v>
      </c>
      <c r="T99" s="862">
        <f>T92*(1+'MSCOA - Tariff Structure'!$S$2)</f>
        <v>9040129.7607894167</v>
      </c>
      <c r="U99" s="862">
        <f>U92*(1+'MSCOA - Tariff Structure'!$S$2)</f>
        <v>9054123.2723741997</v>
      </c>
      <c r="V99" s="857">
        <f>SUM(J99:U99)</f>
        <v>133541328.38002913</v>
      </c>
      <c r="W99" s="869"/>
    </row>
    <row r="100" spans="1:23" x14ac:dyDescent="0.35">
      <c r="A100" s="330"/>
      <c r="B100" s="330"/>
      <c r="I100" s="1050"/>
      <c r="J100" s="869"/>
      <c r="K100" s="869"/>
      <c r="L100" s="869"/>
      <c r="M100" s="869"/>
      <c r="N100" s="869"/>
      <c r="O100" s="869"/>
      <c r="P100" s="869"/>
      <c r="Q100" s="869"/>
      <c r="R100" s="869"/>
      <c r="S100" s="869"/>
      <c r="T100" s="869"/>
      <c r="U100" s="869"/>
      <c r="V100" s="869"/>
      <c r="W100" s="869"/>
    </row>
    <row r="101" spans="1:23" ht="15.5" x14ac:dyDescent="0.35">
      <c r="A101" s="330"/>
      <c r="B101" s="330"/>
      <c r="I101" s="1049" t="s">
        <v>1924</v>
      </c>
      <c r="J101" s="869"/>
      <c r="K101" s="869"/>
      <c r="L101" s="869"/>
      <c r="M101" s="869"/>
      <c r="N101" s="869"/>
      <c r="O101" s="869"/>
      <c r="P101" s="869"/>
      <c r="Q101" s="869"/>
      <c r="R101" s="869"/>
      <c r="S101" s="869"/>
      <c r="T101" s="869"/>
      <c r="U101" s="869"/>
      <c r="V101" s="869"/>
      <c r="W101" s="869"/>
    </row>
    <row r="102" spans="1:23" ht="15" thickBot="1" x14ac:dyDescent="0.4">
      <c r="A102" s="330"/>
      <c r="B102" s="330"/>
      <c r="I102" s="854" t="s">
        <v>295</v>
      </c>
      <c r="J102" s="854">
        <f t="shared" ref="J102:U102" si="24">SUM(J103:J106)</f>
        <v>572314471.00755847</v>
      </c>
      <c r="K102" s="854">
        <f t="shared" si="24"/>
        <v>530753449.16043073</v>
      </c>
      <c r="L102" s="854">
        <f t="shared" si="24"/>
        <v>414326006.98825389</v>
      </c>
      <c r="M102" s="854">
        <f t="shared" si="24"/>
        <v>418215870.10850799</v>
      </c>
      <c r="N102" s="854">
        <f t="shared" si="24"/>
        <v>409259306.65499502</v>
      </c>
      <c r="O102" s="854">
        <f t="shared" si="24"/>
        <v>407739227.65293813</v>
      </c>
      <c r="P102" s="854">
        <f t="shared" si="24"/>
        <v>408100143.53250676</v>
      </c>
      <c r="Q102" s="854">
        <f t="shared" si="24"/>
        <v>336826477.58825606</v>
      </c>
      <c r="R102" s="854">
        <f t="shared" si="24"/>
        <v>261638981.33041552</v>
      </c>
      <c r="S102" s="854">
        <f t="shared" si="24"/>
        <v>256727590.60444951</v>
      </c>
      <c r="T102" s="854">
        <f t="shared" si="24"/>
        <v>334051225.95688123</v>
      </c>
      <c r="U102" s="854">
        <f t="shared" si="24"/>
        <v>450535133.89242077</v>
      </c>
      <c r="V102" s="854">
        <f>SUM(J102:U102)</f>
        <v>4800487884.4776144</v>
      </c>
      <c r="W102" s="869"/>
    </row>
    <row r="103" spans="1:23" ht="15" thickTop="1" x14ac:dyDescent="0.35">
      <c r="A103" s="330"/>
      <c r="B103" s="330"/>
      <c r="I103" s="863" t="s">
        <v>296</v>
      </c>
      <c r="J103" s="599">
        <f>J96*(1+'MSCOA - Tariff Structure'!$T$2)</f>
        <v>233060087.30543667</v>
      </c>
      <c r="K103" s="599">
        <f>K96*(1+'MSCOA - Tariff Structure'!$T$2)</f>
        <v>218168338.99716592</v>
      </c>
      <c r="L103" s="599">
        <f>L96*(1+'MSCOA - Tariff Structure'!$T$2)</f>
        <v>199361287.54647675</v>
      </c>
      <c r="M103" s="599">
        <f>M96*(1+'MSCOA - Tariff Structure'!$T$2)</f>
        <v>200144138.8004252</v>
      </c>
      <c r="N103" s="599">
        <f>N96*(1+'MSCOA - Tariff Structure'!$T$2)</f>
        <v>199429854.27778152</v>
      </c>
      <c r="O103" s="599">
        <f>O96*(1+'MSCOA - Tariff Structure'!$T$2)</f>
        <v>201976573.65570295</v>
      </c>
      <c r="P103" s="599">
        <f>P96*(1+'MSCOA - Tariff Structure'!$T$2)</f>
        <v>190675860.92976817</v>
      </c>
      <c r="Q103" s="599">
        <f>Q96*(1+'MSCOA - Tariff Structure'!$T$2)</f>
        <v>120751378.53193641</v>
      </c>
      <c r="R103" s="599">
        <f>R96*(1+'MSCOA - Tariff Structure'!$T$2)</f>
        <v>96436277.855503678</v>
      </c>
      <c r="S103" s="599">
        <f>S96*(1+'MSCOA - Tariff Structure'!$T$2)</f>
        <v>97247506.992834553</v>
      </c>
      <c r="T103" s="599">
        <f>T96*(1+'MSCOA - Tariff Structure'!$T$2)</f>
        <v>165545931.35781401</v>
      </c>
      <c r="U103" s="880">
        <f>U96*(1+'MSCOA - Tariff Structure'!$T$2)</f>
        <v>205720438.35222811</v>
      </c>
      <c r="V103" s="866">
        <f>SUM(J103:U103)</f>
        <v>2128517674.6030738</v>
      </c>
      <c r="W103" s="869"/>
    </row>
    <row r="104" spans="1:23" x14ac:dyDescent="0.35">
      <c r="A104" s="330"/>
      <c r="B104" s="330"/>
      <c r="I104" s="863" t="s">
        <v>297</v>
      </c>
      <c r="J104" s="599">
        <f>J97*(1+'MSCOA - Tariff Structure'!$T$2)</f>
        <v>319026151.16456306</v>
      </c>
      <c r="K104" s="599">
        <f>K97*(1+'MSCOA - Tariff Structure'!$T$2)</f>
        <v>292326449.31320983</v>
      </c>
      <c r="L104" s="599">
        <f>L97*(1+'MSCOA - Tariff Structure'!$T$2)</f>
        <v>196536640.18756753</v>
      </c>
      <c r="M104" s="599">
        <f>M97*(1+'MSCOA - Tariff Structure'!$T$2)</f>
        <v>199195725.35736722</v>
      </c>
      <c r="N104" s="599">
        <f>N97*(1+'MSCOA - Tariff Structure'!$T$2)</f>
        <v>191336588.56321812</v>
      </c>
      <c r="O104" s="599">
        <f>O97*(1+'MSCOA - Tariff Structure'!$T$2)</f>
        <v>187516401.23582661</v>
      </c>
      <c r="P104" s="599">
        <f>P97*(1+'MSCOA - Tariff Structure'!$T$2)</f>
        <v>199158656.54719266</v>
      </c>
      <c r="Q104" s="599">
        <f>Q97*(1+'MSCOA - Tariff Structure'!$T$2)</f>
        <v>197709084.11297086</v>
      </c>
      <c r="R104" s="599">
        <f>R97*(1+'MSCOA - Tariff Structure'!$T$2)</f>
        <v>149717821.1063441</v>
      </c>
      <c r="S104" s="599">
        <f>S97*(1+'MSCOA - Tariff Structure'!$T$2)</f>
        <v>144373604.66487387</v>
      </c>
      <c r="T104" s="599">
        <f>T97*(1+'MSCOA - Tariff Structure'!$T$2)</f>
        <v>153363927.39357606</v>
      </c>
      <c r="U104" s="880">
        <f>U97*(1+'MSCOA - Tariff Structure'!$T$2)</f>
        <v>228250891.61941698</v>
      </c>
      <c r="V104" s="866">
        <f>SUM(J104:U104)</f>
        <v>2458511941.2661271</v>
      </c>
      <c r="W104" s="869"/>
    </row>
    <row r="105" spans="1:23" x14ac:dyDescent="0.35">
      <c r="A105" s="330"/>
      <c r="B105" s="330"/>
      <c r="I105" s="863" t="s">
        <v>298</v>
      </c>
      <c r="J105" s="599">
        <f>J98*(1+'MSCOA - Tariff Structure'!$T$2)</f>
        <v>6613322.4444364263</v>
      </c>
      <c r="K105" s="599">
        <f>K98*(1+'MSCOA - Tariff Structure'!$T$2)</f>
        <v>6613322.4444364263</v>
      </c>
      <c r="L105" s="599">
        <f>L98*(1+'MSCOA - Tariff Structure'!$T$2)</f>
        <v>5206264.5983835291</v>
      </c>
      <c r="M105" s="599">
        <f>M98*(1+'MSCOA - Tariff Structure'!$T$2)</f>
        <v>5206264.5983835291</v>
      </c>
      <c r="N105" s="599">
        <f>N98*(1+'MSCOA - Tariff Structure'!$T$2)</f>
        <v>5206264.5983835291</v>
      </c>
      <c r="O105" s="599">
        <f>O98*(1+'MSCOA - Tariff Structure'!$T$2)</f>
        <v>5206264.5983835291</v>
      </c>
      <c r="P105" s="599">
        <f>P98*(1+'MSCOA - Tariff Structure'!$T$2)</f>
        <v>5206264.5983835291</v>
      </c>
      <c r="Q105" s="599">
        <f>Q98*(1+'MSCOA - Tariff Structure'!$T$2)</f>
        <v>5206264.5983835291</v>
      </c>
      <c r="R105" s="599">
        <f>R98*(1+'MSCOA - Tariff Structure'!$T$2)</f>
        <v>5206264.5983835291</v>
      </c>
      <c r="S105" s="599">
        <f>S98*(1+'MSCOA - Tariff Structure'!$T$2)</f>
        <v>5206264.5983835291</v>
      </c>
      <c r="T105" s="599">
        <f>T98*(1+'MSCOA - Tariff Structure'!$T$2)</f>
        <v>5206264.5983835291</v>
      </c>
      <c r="U105" s="880">
        <f>U98*(1+'MSCOA - Tariff Structure'!$T$2)</f>
        <v>6613322.4444364263</v>
      </c>
      <c r="V105" s="866">
        <f>SUM(J105:U105)</f>
        <v>66696348.718761049</v>
      </c>
      <c r="W105" s="869"/>
    </row>
    <row r="106" spans="1:23" x14ac:dyDescent="0.35">
      <c r="A106" s="330"/>
      <c r="B106" s="330"/>
      <c r="I106" s="626" t="s">
        <v>543</v>
      </c>
      <c r="J106" s="864">
        <f>J99*(1+'MSCOA - Tariff Structure'!$T$2)</f>
        <v>13614910.093122302</v>
      </c>
      <c r="K106" s="864">
        <f>K99*(1+'MSCOA - Tariff Structure'!$T$2)</f>
        <v>13645338.405618537</v>
      </c>
      <c r="L106" s="864">
        <f>L99*(1+'MSCOA - Tariff Structure'!$T$2)</f>
        <v>13221814.655826028</v>
      </c>
      <c r="M106" s="864">
        <f>M99*(1+'MSCOA - Tariff Structure'!$T$2)</f>
        <v>13669741.352332011</v>
      </c>
      <c r="N106" s="864">
        <f>N99*(1+'MSCOA - Tariff Structure'!$T$2)</f>
        <v>13286599.215611884</v>
      </c>
      <c r="O106" s="864">
        <f>O99*(1+'MSCOA - Tariff Structure'!$T$2)</f>
        <v>13039988.163024995</v>
      </c>
      <c r="P106" s="864">
        <f>P99*(1+'MSCOA - Tariff Structure'!$T$2)</f>
        <v>13059361.457162388</v>
      </c>
      <c r="Q106" s="864">
        <f>Q99*(1+'MSCOA - Tariff Structure'!$T$2)</f>
        <v>13159750.344965255</v>
      </c>
      <c r="R106" s="864">
        <f>R99*(1+'MSCOA - Tariff Structure'!$T$2)</f>
        <v>10278617.770184219</v>
      </c>
      <c r="S106" s="864">
        <f>S99*(1+'MSCOA - Tariff Structure'!$T$2)</f>
        <v>9900214.3483575974</v>
      </c>
      <c r="T106" s="864">
        <f>T99*(1+'MSCOA - Tariff Structure'!$T$2)</f>
        <v>9935102.6071075685</v>
      </c>
      <c r="U106" s="881">
        <f>U99*(1+'MSCOA - Tariff Structure'!$T$2)</f>
        <v>9950481.4763392452</v>
      </c>
      <c r="V106" s="858">
        <f>SUM(J106:U106)</f>
        <v>146761919.88965204</v>
      </c>
      <c r="W106" s="869"/>
    </row>
    <row r="107" spans="1:23" x14ac:dyDescent="0.35">
      <c r="A107" s="330"/>
      <c r="B107" s="330"/>
      <c r="I107" s="1050"/>
      <c r="J107" s="869"/>
      <c r="K107" s="869"/>
      <c r="L107" s="869"/>
      <c r="M107" s="869"/>
      <c r="N107" s="869"/>
      <c r="O107" s="869"/>
      <c r="P107" s="869"/>
      <c r="Q107" s="869"/>
      <c r="R107" s="869"/>
      <c r="S107" s="869"/>
      <c r="T107" s="869"/>
      <c r="U107" s="869"/>
      <c r="V107" s="869"/>
      <c r="W107" s="869"/>
    </row>
    <row r="108" spans="1:23" ht="15.5" x14ac:dyDescent="0.35">
      <c r="A108" s="330"/>
      <c r="B108" s="330"/>
      <c r="I108" s="1049" t="s">
        <v>1945</v>
      </c>
      <c r="J108" s="869"/>
      <c r="K108" s="869"/>
      <c r="L108" s="869"/>
      <c r="M108" s="869"/>
      <c r="N108" s="869"/>
      <c r="O108" s="869"/>
      <c r="P108" s="869"/>
      <c r="Q108" s="869"/>
      <c r="R108" s="869"/>
      <c r="S108" s="869"/>
      <c r="T108" s="869"/>
      <c r="U108" s="869"/>
      <c r="V108" s="869"/>
      <c r="W108" s="869"/>
    </row>
    <row r="109" spans="1:23" ht="15" thickBot="1" x14ac:dyDescent="0.4">
      <c r="A109" s="330"/>
      <c r="B109" s="330"/>
      <c r="I109" s="1085" t="s">
        <v>295</v>
      </c>
      <c r="J109" s="1085">
        <f t="shared" ref="J109:U109" si="25">SUM(J110:J113)</f>
        <v>613463881.47300196</v>
      </c>
      <c r="K109" s="1085">
        <f t="shared" si="25"/>
        <v>568914622.15506566</v>
      </c>
      <c r="L109" s="1085">
        <f t="shared" si="25"/>
        <v>444116046.89070934</v>
      </c>
      <c r="M109" s="1085">
        <f t="shared" si="25"/>
        <v>448285591.16930979</v>
      </c>
      <c r="N109" s="1085">
        <f t="shared" si="25"/>
        <v>438685050.80348927</v>
      </c>
      <c r="O109" s="1085">
        <f t="shared" si="25"/>
        <v>437055678.12118441</v>
      </c>
      <c r="P109" s="1085">
        <f t="shared" si="25"/>
        <v>437442543.85249406</v>
      </c>
      <c r="Q109" s="1085">
        <f t="shared" si="25"/>
        <v>361044301.32685173</v>
      </c>
      <c r="R109" s="1085">
        <f t="shared" si="25"/>
        <v>280450824.08807242</v>
      </c>
      <c r="S109" s="1085">
        <f t="shared" si="25"/>
        <v>275186304.36890948</v>
      </c>
      <c r="T109" s="1085">
        <f t="shared" si="25"/>
        <v>358069509.10318094</v>
      </c>
      <c r="U109" s="1085">
        <f t="shared" si="25"/>
        <v>482928610.0192858</v>
      </c>
      <c r="V109" s="1085">
        <f>SUM(J109:U109)</f>
        <v>5145642963.3715553</v>
      </c>
      <c r="W109" s="869"/>
    </row>
    <row r="110" spans="1:23" ht="15" thickTop="1" x14ac:dyDescent="0.35">
      <c r="A110" s="330"/>
      <c r="B110" s="330"/>
      <c r="I110" s="1086" t="s">
        <v>296</v>
      </c>
      <c r="J110" s="1105">
        <f>J103*(1+'MSCOA - Tariff Structure'!$U$2)</f>
        <v>249817107.58269757</v>
      </c>
      <c r="K110" s="1105">
        <f>K103*(1+'MSCOA - Tariff Structure'!$U$2)</f>
        <v>233854642.57106218</v>
      </c>
      <c r="L110" s="1105">
        <f>L103*(1+'MSCOA - Tariff Structure'!$U$2)</f>
        <v>213695364.12106845</v>
      </c>
      <c r="M110" s="1105">
        <f>M103*(1+'MSCOA - Tariff Structure'!$U$2)</f>
        <v>214534502.3801758</v>
      </c>
      <c r="N110" s="1105">
        <f>N103*(1+'MSCOA - Tariff Structure'!$U$2)</f>
        <v>213768860.80035403</v>
      </c>
      <c r="O110" s="1105">
        <f>O103*(1+'MSCOA - Tariff Structure'!$U$2)</f>
        <v>216498689.301548</v>
      </c>
      <c r="P110" s="1105">
        <f>P103*(1+'MSCOA - Tariff Structure'!$U$2)</f>
        <v>204385455.33061853</v>
      </c>
      <c r="Q110" s="1105">
        <f>Q103*(1+'MSCOA - Tariff Structure'!$U$2)</f>
        <v>129433402.64838265</v>
      </c>
      <c r="R110" s="1105">
        <f>R103*(1+'MSCOA - Tariff Structure'!$U$2)</f>
        <v>103370046.23331439</v>
      </c>
      <c r="S110" s="1105">
        <f>S103*(1+'MSCOA - Tariff Structure'!$U$2)</f>
        <v>104239602.74561937</v>
      </c>
      <c r="T110" s="1105">
        <f>T103*(1+'MSCOA - Tariff Structure'!$U$2)</f>
        <v>177448683.82244086</v>
      </c>
      <c r="U110" s="1105">
        <f>U103*(1+'MSCOA - Tariff Structure'!$U$2)</f>
        <v>220511737.86975333</v>
      </c>
      <c r="V110" s="1088">
        <f>SUM(J110:U110)</f>
        <v>2281558095.4070349</v>
      </c>
      <c r="W110" s="869"/>
    </row>
    <row r="111" spans="1:23" x14ac:dyDescent="0.35">
      <c r="A111" s="330"/>
      <c r="B111" s="330"/>
      <c r="I111" s="1086" t="s">
        <v>297</v>
      </c>
      <c r="J111" s="1105">
        <f>J104*(1+'MSCOA - Tariff Structure'!$U$2)</f>
        <v>341964131.43329519</v>
      </c>
      <c r="K111" s="1105">
        <f>K104*(1+'MSCOA - Tariff Structure'!$U$2)</f>
        <v>313344721.01882964</v>
      </c>
      <c r="L111" s="1105">
        <f>L104*(1+'MSCOA - Tariff Structure'!$U$2)</f>
        <v>210667624.61705366</v>
      </c>
      <c r="M111" s="1105">
        <f>M104*(1+'MSCOA - Tariff Structure'!$U$2)</f>
        <v>213517898.01056194</v>
      </c>
      <c r="N111" s="1105">
        <f>N104*(1+'MSCOA - Tariff Structure'!$U$2)</f>
        <v>205093689.2809135</v>
      </c>
      <c r="O111" s="1105">
        <f>O104*(1+'MSCOA - Tariff Structure'!$U$2)</f>
        <v>200998830.48468256</v>
      </c>
      <c r="P111" s="1105">
        <f>P104*(1+'MSCOA - Tariff Structure'!$U$2)</f>
        <v>213478163.95293584</v>
      </c>
      <c r="Q111" s="1105">
        <f>Q104*(1+'MSCOA - Tariff Structure'!$U$2)</f>
        <v>211924367.26069349</v>
      </c>
      <c r="R111" s="1105">
        <f>R104*(1+'MSCOA - Tariff Structure'!$U$2)</f>
        <v>160482532.44389024</v>
      </c>
      <c r="S111" s="1105">
        <f>S104*(1+'MSCOA - Tariff Structure'!$U$2)</f>
        <v>154754066.8402783</v>
      </c>
      <c r="T111" s="1105">
        <f>T104*(1+'MSCOA - Tariff Structure'!$U$2)</f>
        <v>164390793.7731742</v>
      </c>
      <c r="U111" s="1105">
        <f>U104*(1+'MSCOA - Tariff Structure'!$U$2)</f>
        <v>244662130.72685307</v>
      </c>
      <c r="V111" s="1088">
        <f>SUM(J111:U111)</f>
        <v>2635278949.8431621</v>
      </c>
      <c r="W111" s="869"/>
    </row>
    <row r="112" spans="1:23" x14ac:dyDescent="0.35">
      <c r="A112" s="330"/>
      <c r="B112" s="330"/>
      <c r="I112" s="1086" t="s">
        <v>298</v>
      </c>
      <c r="J112" s="1105">
        <f>J105*(1+'MSCOA - Tariff Structure'!$U$2)</f>
        <v>7088820.3281914061</v>
      </c>
      <c r="K112" s="1105">
        <f>K105*(1+'MSCOA - Tariff Structure'!$U$2)</f>
        <v>7088820.3281914061</v>
      </c>
      <c r="L112" s="1105">
        <f>L105*(1+'MSCOA - Tariff Structure'!$U$2)</f>
        <v>5580595.0230073053</v>
      </c>
      <c r="M112" s="1105">
        <f>M105*(1+'MSCOA - Tariff Structure'!$U$2)</f>
        <v>5580595.0230073053</v>
      </c>
      <c r="N112" s="1105">
        <f>N105*(1+'MSCOA - Tariff Structure'!$U$2)</f>
        <v>5580595.0230073053</v>
      </c>
      <c r="O112" s="1105">
        <f>O105*(1+'MSCOA - Tariff Structure'!$U$2)</f>
        <v>5580595.0230073053</v>
      </c>
      <c r="P112" s="1105">
        <f>P105*(1+'MSCOA - Tariff Structure'!$U$2)</f>
        <v>5580595.0230073053</v>
      </c>
      <c r="Q112" s="1105">
        <f>Q105*(1+'MSCOA - Tariff Structure'!$U$2)</f>
        <v>5580595.0230073053</v>
      </c>
      <c r="R112" s="1105">
        <f>R105*(1+'MSCOA - Tariff Structure'!$U$2)</f>
        <v>5580595.0230073053</v>
      </c>
      <c r="S112" s="1105">
        <f>S105*(1+'MSCOA - Tariff Structure'!$U$2)</f>
        <v>5580595.0230073053</v>
      </c>
      <c r="T112" s="1105">
        <f>T105*(1+'MSCOA - Tariff Structure'!$U$2)</f>
        <v>5580595.0230073053</v>
      </c>
      <c r="U112" s="1105">
        <f>U105*(1+'MSCOA - Tariff Structure'!$U$2)</f>
        <v>7088820.3281914061</v>
      </c>
      <c r="V112" s="1088">
        <f>SUM(J112:U112)</f>
        <v>71491816.191639945</v>
      </c>
      <c r="W112" s="869"/>
    </row>
    <row r="113" spans="1:24" x14ac:dyDescent="0.35">
      <c r="A113" s="330"/>
      <c r="B113" s="330"/>
      <c r="I113" s="1089" t="s">
        <v>543</v>
      </c>
      <c r="J113" s="1090">
        <f>J106*(1+'MSCOA - Tariff Structure'!$U$2)</f>
        <v>14593822.128817797</v>
      </c>
      <c r="K113" s="1090">
        <f>K106*(1+'MSCOA - Tariff Structure'!$U$2)</f>
        <v>14626438.236982511</v>
      </c>
      <c r="L113" s="1090">
        <f>L106*(1+'MSCOA - Tariff Structure'!$U$2)</f>
        <v>14172463.12957992</v>
      </c>
      <c r="M113" s="1090">
        <f>M106*(1+'MSCOA - Tariff Structure'!$U$2)</f>
        <v>14652595.755564684</v>
      </c>
      <c r="N113" s="1090">
        <f>N106*(1+'MSCOA - Tariff Structure'!$U$2)</f>
        <v>14241905.69921438</v>
      </c>
      <c r="O113" s="1090">
        <f>O106*(1+'MSCOA - Tariff Structure'!$U$2)</f>
        <v>13977563.311946495</v>
      </c>
      <c r="P113" s="1090">
        <f>P106*(1+'MSCOA - Tariff Structure'!$U$2)</f>
        <v>13998329.545932364</v>
      </c>
      <c r="Q113" s="1090">
        <f>Q106*(1+'MSCOA - Tariff Structure'!$U$2)</f>
        <v>14105936.394768259</v>
      </c>
      <c r="R113" s="1090">
        <f>R106*(1+'MSCOA - Tariff Structure'!$U$2)</f>
        <v>11017650.387860466</v>
      </c>
      <c r="S113" s="1090">
        <f>S106*(1+'MSCOA - Tariff Structure'!$U$2)</f>
        <v>10612039.760004509</v>
      </c>
      <c r="T113" s="1090">
        <f>T106*(1+'MSCOA - Tariff Structure'!$U$2)</f>
        <v>10649436.484558603</v>
      </c>
      <c r="U113" s="1090">
        <f>U106*(1+'MSCOA - Tariff Structure'!$U$2)</f>
        <v>10665921.094488038</v>
      </c>
      <c r="V113" s="1091">
        <f>SUM(J113:U113)</f>
        <v>157314101.92971802</v>
      </c>
      <c r="W113" s="869"/>
    </row>
    <row r="114" spans="1:24" x14ac:dyDescent="0.35">
      <c r="A114" s="330"/>
      <c r="B114" s="330"/>
      <c r="C114" s="330"/>
      <c r="D114" s="330"/>
      <c r="E114" s="330"/>
      <c r="F114" s="330"/>
      <c r="G114" s="330"/>
      <c r="H114" s="330"/>
      <c r="I114" s="330"/>
      <c r="J114" s="330"/>
      <c r="K114" s="330"/>
      <c r="L114" s="330"/>
      <c r="M114" s="330"/>
      <c r="N114" s="330"/>
      <c r="O114" s="330"/>
      <c r="P114" s="330"/>
      <c r="Q114" s="330"/>
      <c r="R114" s="330"/>
      <c r="S114" s="330"/>
      <c r="T114" s="330"/>
      <c r="U114" s="330"/>
      <c r="V114" s="330"/>
      <c r="W114" s="869"/>
      <c r="X114" s="330"/>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88E9-A989-407F-B394-B6715E1AB084}">
  <sheetPr>
    <tabColor rgb="FF00FF00"/>
  </sheetPr>
  <dimension ref="A1:AB114"/>
  <sheetViews>
    <sheetView view="pageBreakPreview" zoomScale="90" zoomScaleNormal="100" zoomScaleSheetLayoutView="90" workbookViewId="0">
      <pane ySplit="1" topLeftCell="A89" activePane="bottomLeft" state="frozen"/>
      <selection pane="bottomLeft" activeCell="N89" sqref="N89"/>
    </sheetView>
  </sheetViews>
  <sheetFormatPr defaultColWidth="8.6328125" defaultRowHeight="14.5" x14ac:dyDescent="0.35"/>
  <cols>
    <col min="1" max="1" width="35.54296875" style="245" bestFit="1" customWidth="1"/>
    <col min="2" max="2" width="13.6328125" style="245" customWidth="1"/>
    <col min="3" max="3" width="56.54296875" style="245" hidden="1" customWidth="1"/>
    <col min="4" max="4" width="58" style="245" hidden="1" customWidth="1"/>
    <col min="5" max="5" width="56.54296875" style="245" hidden="1" customWidth="1"/>
    <col min="6" max="6" width="58.6328125" style="245" hidden="1" customWidth="1"/>
    <col min="7" max="7" width="21.6328125" style="245" hidden="1" customWidth="1"/>
    <col min="8" max="8" width="20.6328125" style="245" hidden="1" customWidth="1"/>
    <col min="9" max="9" width="16.54296875" style="587" bestFit="1" customWidth="1"/>
    <col min="10" max="21" width="14.90625" style="594" bestFit="1" customWidth="1"/>
    <col min="22" max="22" width="16.90625" style="594" customWidth="1"/>
    <col min="23" max="23" width="14.90625" style="594" customWidth="1"/>
    <col min="24" max="24" width="14.453125" style="245" hidden="1" customWidth="1"/>
    <col min="25" max="25" width="8.6328125" style="245"/>
    <col min="26" max="26" width="15.6328125" style="245" bestFit="1" customWidth="1"/>
    <col min="27" max="27" width="14.36328125" style="245" bestFit="1" customWidth="1"/>
    <col min="28" max="28" width="15.453125" style="245" bestFit="1" customWidth="1"/>
    <col min="29" max="16384" width="8.6328125" style="245"/>
  </cols>
  <sheetData>
    <row r="1" spans="1:28" s="247" customFormat="1" x14ac:dyDescent="0.35">
      <c r="A1" s="247" t="s">
        <v>531</v>
      </c>
      <c r="B1" s="247" t="s">
        <v>532</v>
      </c>
      <c r="C1" s="247" t="s">
        <v>548</v>
      </c>
      <c r="D1" s="247" t="s">
        <v>549</v>
      </c>
      <c r="E1" s="247" t="s">
        <v>548</v>
      </c>
      <c r="F1" s="247" t="s">
        <v>549</v>
      </c>
      <c r="G1" s="247" t="s">
        <v>1429</v>
      </c>
      <c r="H1" s="247" t="s">
        <v>1429</v>
      </c>
      <c r="I1" s="585" t="s">
        <v>282</v>
      </c>
      <c r="J1" s="585" t="s">
        <v>521</v>
      </c>
      <c r="K1" s="585" t="s">
        <v>522</v>
      </c>
      <c r="L1" s="585" t="s">
        <v>523</v>
      </c>
      <c r="M1" s="585" t="s">
        <v>524</v>
      </c>
      <c r="N1" s="585" t="s">
        <v>525</v>
      </c>
      <c r="O1" s="585" t="s">
        <v>526</v>
      </c>
      <c r="P1" s="585" t="s">
        <v>527</v>
      </c>
      <c r="Q1" s="585" t="s">
        <v>528</v>
      </c>
      <c r="R1" s="585" t="s">
        <v>540</v>
      </c>
      <c r="S1" s="585" t="s">
        <v>541</v>
      </c>
      <c r="T1" s="585" t="s">
        <v>529</v>
      </c>
      <c r="U1" s="585" t="s">
        <v>530</v>
      </c>
      <c r="V1" s="586" t="s">
        <v>281</v>
      </c>
      <c r="W1" s="586" t="s">
        <v>280</v>
      </c>
    </row>
    <row r="2" spans="1:28" ht="15" thickBot="1" x14ac:dyDescent="0.4">
      <c r="A2" s="247" t="s">
        <v>1520</v>
      </c>
      <c r="I2" s="1060">
        <f>SUM(I3:I5)</f>
        <v>181059484.81758457</v>
      </c>
      <c r="J2" s="1031"/>
      <c r="K2" s="1031"/>
      <c r="L2" s="1031"/>
      <c r="M2" s="1031"/>
      <c r="N2" s="1031"/>
      <c r="O2" s="1031"/>
      <c r="P2" s="1031"/>
      <c r="Q2" s="1031"/>
      <c r="R2" s="1031"/>
      <c r="S2" s="1031"/>
      <c r="T2" s="1031"/>
      <c r="U2" s="1031"/>
      <c r="V2" s="611"/>
      <c r="W2" s="611"/>
    </row>
    <row r="3" spans="1:28" s="364" customFormat="1" ht="15" thickTop="1" x14ac:dyDescent="0.35">
      <c r="A3" s="1122" t="s">
        <v>309</v>
      </c>
      <c r="B3" s="1122" t="s">
        <v>307</v>
      </c>
      <c r="C3" s="1122" t="s">
        <v>824</v>
      </c>
      <c r="D3" s="1122" t="s">
        <v>825</v>
      </c>
      <c r="E3" s="1122" t="s">
        <v>824</v>
      </c>
      <c r="F3" s="1122" t="s">
        <v>825</v>
      </c>
      <c r="G3" s="1122"/>
      <c r="H3" s="1122"/>
      <c r="I3" s="1043">
        <f>SUM(J3:U3)</f>
        <v>69826533.114784345</v>
      </c>
      <c r="J3" s="1036">
        <f>'Tariff SUMMARY 25-26'!$B$6*'Annexure A'!$S$6*50</f>
        <v>5818877.7595653618</v>
      </c>
      <c r="K3" s="1036">
        <f>'Tariff SUMMARY 25-26'!$B$6*'Annexure A'!$S$6*50</f>
        <v>5818877.7595653618</v>
      </c>
      <c r="L3" s="1036">
        <f>'Tariff SUMMARY 25-26'!$B$6*'Annexure A'!$S$6*50</f>
        <v>5818877.7595653618</v>
      </c>
      <c r="M3" s="1036">
        <f>'Tariff SUMMARY 25-26'!$B$6*'Annexure A'!$S$6*50</f>
        <v>5818877.7595653618</v>
      </c>
      <c r="N3" s="1036">
        <f>'Tariff SUMMARY 25-26'!$B$6*'Annexure A'!$S$6*50</f>
        <v>5818877.7595653618</v>
      </c>
      <c r="O3" s="1036">
        <f>'Tariff SUMMARY 25-26'!$B$6*'Annexure A'!$S$6*50</f>
        <v>5818877.7595653618</v>
      </c>
      <c r="P3" s="1036">
        <f>'Tariff SUMMARY 25-26'!$B$6*'Annexure A'!$S$6*50</f>
        <v>5818877.7595653618</v>
      </c>
      <c r="Q3" s="1036">
        <f>'Tariff SUMMARY 25-26'!$B$6*'Annexure A'!$S$6*50</f>
        <v>5818877.7595653618</v>
      </c>
      <c r="R3" s="1036">
        <f>'Tariff SUMMARY 25-26'!$B$6*'Annexure A'!$S$6*50</f>
        <v>5818877.7595653618</v>
      </c>
      <c r="S3" s="1036">
        <f>'Tariff SUMMARY 25-26'!$B$6*'Annexure A'!$S$6*50</f>
        <v>5818877.7595653618</v>
      </c>
      <c r="T3" s="1036">
        <f>'Tariff SUMMARY 25-26'!$B$6*'Annexure A'!$S$6*50</f>
        <v>5818877.7595653618</v>
      </c>
      <c r="U3" s="1036">
        <f>'Tariff SUMMARY 25-26'!$B$6*'Annexure A'!$S$6*50</f>
        <v>5818877.7595653618</v>
      </c>
      <c r="V3" s="1036">
        <f>SUM(L3:T3)</f>
        <v>52369899.836088255</v>
      </c>
      <c r="W3" s="1036">
        <f>U3+J3+K3</f>
        <v>17456633.278696086</v>
      </c>
      <c r="Z3" s="1123">
        <f>V3+V7</f>
        <v>52371841.695710614</v>
      </c>
      <c r="AA3" s="1123">
        <f>W3+W7</f>
        <v>17457455.502485767</v>
      </c>
      <c r="AB3" s="1124">
        <f>SUM(Z3:AA3)</f>
        <v>69829297.198196381</v>
      </c>
    </row>
    <row r="4" spans="1:28" s="364" customFormat="1" x14ac:dyDescent="0.35">
      <c r="A4" s="1122" t="s">
        <v>309</v>
      </c>
      <c r="B4" s="1122" t="s">
        <v>307</v>
      </c>
      <c r="C4" s="1122" t="s">
        <v>824</v>
      </c>
      <c r="D4" s="1122" t="s">
        <v>825</v>
      </c>
      <c r="E4" s="1122" t="s">
        <v>824</v>
      </c>
      <c r="F4" s="1122" t="s">
        <v>825</v>
      </c>
      <c r="G4" s="1122"/>
      <c r="H4" s="1122"/>
      <c r="I4" s="1043">
        <f>SUM(J4:U4)</f>
        <v>69818089.212570623</v>
      </c>
      <c r="J4" s="1036">
        <f>('Tariff Rand Values 2024-25 Actu'!J4*'MSCOA - Tariff Structure'!$S$2)+'Tariff Rand Values 2024-25 Actu'!J4</f>
        <v>7950898.9935154188</v>
      </c>
      <c r="K4" s="1036">
        <f>('Tariff Rand Values 2024-25 Actu'!K4*'MSCOA - Tariff Structure'!$S$2)+'Tariff Rand Values 2024-25 Actu'!K4</f>
        <v>4590696.8401649306</v>
      </c>
      <c r="L4" s="1036">
        <f>('Tariff Rand Values 2024-25 Actu'!L4*'MSCOA - Tariff Structure'!$S$2)+'Tariff Rand Values 2024-25 Actu'!L4</f>
        <v>4790330.0239887275</v>
      </c>
      <c r="M4" s="1036">
        <f>('Tariff Rand Values 2024-25 Actu'!M4*'MSCOA - Tariff Structure'!$S$2)+'Tariff Rand Values 2024-25 Actu'!M4</f>
        <v>4695367.0165806264</v>
      </c>
      <c r="N4" s="1036">
        <f>('Tariff Rand Values 2024-25 Actu'!N4*'MSCOA - Tariff Structure'!$S$2)+'Tariff Rand Values 2024-25 Actu'!N4</f>
        <v>3957540.2163404338</v>
      </c>
      <c r="O4" s="1036">
        <f>('Tariff Rand Values 2024-25 Actu'!O4*'MSCOA - Tariff Structure'!$S$2)+'Tariff Rand Values 2024-25 Actu'!O4</f>
        <v>7070158.9208592223</v>
      </c>
      <c r="P4" s="1036">
        <f>('Tariff Rand Values 2024-25 Actu'!P4*'MSCOA - Tariff Structure'!$S$2)+'Tariff Rand Values 2024-25 Actu'!P4</f>
        <v>6564558.308650203</v>
      </c>
      <c r="Q4" s="1036">
        <f>('Tariff Rand Values 2024-25 Actu'!Q4*'MSCOA - Tariff Structure'!$S$2)+'Tariff Rand Values 2024-25 Actu'!Q4</f>
        <v>6445416.0686883535</v>
      </c>
      <c r="R4" s="1036">
        <f>('Tariff Rand Values 2024-25 Actu'!R4*'MSCOA - Tariff Structure'!$S$2)+'Tariff Rand Values 2024-25 Actu'!R4</f>
        <v>5526462.63045118</v>
      </c>
      <c r="S4" s="1036">
        <f>('Tariff Rand Values 2024-25 Actu'!S4*'MSCOA - Tariff Structure'!$S$2)+'Tariff Rand Values 2024-25 Actu'!S4</f>
        <v>5416514.6762401052</v>
      </c>
      <c r="T4" s="1036">
        <f>('Tariff Rand Values 2024-25 Actu'!T4*'MSCOA - Tariff Structure'!$S$2)+'Tariff Rand Values 2024-25 Actu'!T4</f>
        <v>5687672.7667231634</v>
      </c>
      <c r="U4" s="1036">
        <f>('Tariff Rand Values 2024-25 Actu'!U4*'MSCOA - Tariff Structure'!$S$2)+'Tariff Rand Values 2024-25 Actu'!U4</f>
        <v>7122472.7503682654</v>
      </c>
      <c r="V4" s="1036">
        <f>SUM(L4:T4)</f>
        <v>50154020.628522016</v>
      </c>
      <c r="W4" s="1036">
        <f>U4+J4+K4</f>
        <v>19664068.584048614</v>
      </c>
      <c r="X4" s="364">
        <f>+W4+V4+V5+W5+V8+V9+W8+W9</f>
        <v>111319112.65323505</v>
      </c>
    </row>
    <row r="5" spans="1:28" s="364" customFormat="1" x14ac:dyDescent="0.35">
      <c r="A5" s="1122" t="s">
        <v>309</v>
      </c>
      <c r="B5" s="1122" t="s">
        <v>307</v>
      </c>
      <c r="C5" s="1122" t="s">
        <v>824</v>
      </c>
      <c r="D5" s="1122" t="s">
        <v>825</v>
      </c>
      <c r="E5" s="1122"/>
      <c r="F5" s="1122"/>
      <c r="G5" s="1122"/>
      <c r="H5" s="1122"/>
      <c r="I5" s="1043">
        <f>SUM(J5:U5)</f>
        <v>41414862.490229614</v>
      </c>
      <c r="J5" s="1036">
        <f>('Tariff Rand Values 2024-25 Actu'!J5*'MSCOA - Tariff Structure'!$S$2)+'Tariff Rand Values 2024-25 Actu'!J5</f>
        <v>7137527.4788903631</v>
      </c>
      <c r="K5" s="1036">
        <f>('Tariff Rand Values 2024-25 Actu'!K5*'MSCOA - Tariff Structure'!$S$2)+'Tariff Rand Values 2024-25 Actu'!K5</f>
        <v>816039.24445248547</v>
      </c>
      <c r="L5" s="1036">
        <f>('Tariff Rand Values 2024-25 Actu'!L5*'MSCOA - Tariff Structure'!$S$2)+'Tariff Rand Values 2024-25 Actu'!L5</f>
        <v>2609822.3500710391</v>
      </c>
      <c r="M5" s="1036">
        <f>('Tariff Rand Values 2024-25 Actu'!M5*'MSCOA - Tariff Structure'!$S$2)+'Tariff Rand Values 2024-25 Actu'!M5</f>
        <v>2887196.0529991202</v>
      </c>
      <c r="N5" s="1036">
        <f>('Tariff Rand Values 2024-25 Actu'!N5*'MSCOA - Tariff Structure'!$S$2)+'Tariff Rand Values 2024-25 Actu'!N5</f>
        <v>2873696.6691943221</v>
      </c>
      <c r="O5" s="1036">
        <f>('Tariff Rand Values 2024-25 Actu'!O5*'MSCOA - Tariff Structure'!$S$2)+'Tariff Rand Values 2024-25 Actu'!O5</f>
        <v>4134615.1315196473</v>
      </c>
      <c r="P5" s="1036">
        <f>('Tariff Rand Values 2024-25 Actu'!P5*'MSCOA - Tariff Structure'!$S$2)+'Tariff Rand Values 2024-25 Actu'!P5</f>
        <v>3838924.2099978579</v>
      </c>
      <c r="Q5" s="1036">
        <f>('Tariff Rand Values 2024-25 Actu'!Q5*'MSCOA - Tariff Structure'!$S$2)+'Tariff Rand Values 2024-25 Actu'!Q5</f>
        <v>3769714.231177317</v>
      </c>
      <c r="R5" s="1036">
        <f>('Tariff Rand Values 2024-25 Actu'!R5*'MSCOA - Tariff Structure'!$S$2)+'Tariff Rand Values 2024-25 Actu'!R5</f>
        <v>3232137.1837298479</v>
      </c>
      <c r="S5" s="1036">
        <f>('Tariff Rand Values 2024-25 Actu'!S5*'MSCOA - Tariff Structure'!$S$2)+'Tariff Rand Values 2024-25 Actu'!S5</f>
        <v>3167746.4179435661</v>
      </c>
      <c r="T5" s="1036">
        <f>('Tariff Rand Values 2024-25 Actu'!T5*'MSCOA - Tariff Structure'!$S$2)+'Tariff Rand Values 2024-25 Actu'!T5</f>
        <v>3326238.4553463608</v>
      </c>
      <c r="U5" s="1036">
        <f>('Tariff Rand Values 2024-25 Actu'!U5*'MSCOA - Tariff Structure'!$S$2)+'Tariff Rand Values 2024-25 Actu'!U5</f>
        <v>3621205.0649076831</v>
      </c>
      <c r="V5" s="1036">
        <f>SUM(L5:T5)</f>
        <v>29840090.701979078</v>
      </c>
      <c r="W5" s="1036">
        <f>U5+J5+K5</f>
        <v>11574771.788250532</v>
      </c>
    </row>
    <row r="6" spans="1:28" s="364" customFormat="1" ht="15" thickBot="1" x14ac:dyDescent="0.4">
      <c r="A6" s="359" t="s">
        <v>1521</v>
      </c>
      <c r="I6" s="1060">
        <f>SUM(I7:I9)</f>
        <v>88925.033846837046</v>
      </c>
      <c r="J6" s="1125"/>
      <c r="K6" s="1125"/>
      <c r="L6" s="1125"/>
      <c r="M6" s="1125"/>
      <c r="N6" s="1125"/>
      <c r="O6" s="1125"/>
      <c r="P6" s="1125"/>
      <c r="Q6" s="1125"/>
      <c r="R6" s="1125"/>
      <c r="S6" s="1125"/>
      <c r="T6" s="1125"/>
      <c r="U6" s="1125"/>
      <c r="V6" s="611">
        <f>V5+V4+V3</f>
        <v>132364011.16658935</v>
      </c>
      <c r="W6" s="611">
        <f>W5+W4+W3</f>
        <v>48695473.650995232</v>
      </c>
    </row>
    <row r="7" spans="1:28" s="364" customFormat="1" ht="15" thickTop="1" x14ac:dyDescent="0.35">
      <c r="A7" s="1122" t="s">
        <v>309</v>
      </c>
      <c r="B7" s="1122" t="s">
        <v>307</v>
      </c>
      <c r="C7" s="1122" t="s">
        <v>824</v>
      </c>
      <c r="D7" s="1122" t="s">
        <v>825</v>
      </c>
      <c r="E7" s="1122" t="s">
        <v>824</v>
      </c>
      <c r="F7" s="1122" t="s">
        <v>825</v>
      </c>
      <c r="G7" s="1122"/>
      <c r="H7" s="1122"/>
      <c r="I7" s="1043">
        <f>SUM(J7:U7)</f>
        <v>2764.083412037121</v>
      </c>
      <c r="J7" s="1036">
        <f>2*'Annexure A'!$S$6*50</f>
        <v>274.07459656000009</v>
      </c>
      <c r="K7" s="1036">
        <f>2*'Annexure A'!$S$6*50</f>
        <v>274.07459656000009</v>
      </c>
      <c r="L7" s="1036">
        <f>2*'Annexure A'!$R$6*50</f>
        <v>215.7621802619023</v>
      </c>
      <c r="M7" s="1036">
        <f>2*'Annexure A'!$R$6*50</f>
        <v>215.7621802619023</v>
      </c>
      <c r="N7" s="1036">
        <f>2*'Annexure A'!$R$6*50</f>
        <v>215.7621802619023</v>
      </c>
      <c r="O7" s="1036">
        <f>2*'Annexure A'!$R$6*50</f>
        <v>215.7621802619023</v>
      </c>
      <c r="P7" s="1036">
        <f>2*'Annexure A'!$R$6*50</f>
        <v>215.7621802619023</v>
      </c>
      <c r="Q7" s="1036">
        <f>2*'Annexure A'!$R$6*50</f>
        <v>215.7621802619023</v>
      </c>
      <c r="R7" s="1036">
        <f>2*'Annexure A'!$R$6*50</f>
        <v>215.7621802619023</v>
      </c>
      <c r="S7" s="1036">
        <f>2*'Annexure A'!$R$6*50</f>
        <v>215.7621802619023</v>
      </c>
      <c r="T7" s="1036">
        <f>2*'Annexure A'!$R$6*50</f>
        <v>215.7621802619023</v>
      </c>
      <c r="U7" s="1036">
        <f>2*'Annexure A'!$S$6*50</f>
        <v>274.07459656000009</v>
      </c>
      <c r="V7" s="1036">
        <f>SUM(L7:T7)</f>
        <v>1941.859622357121</v>
      </c>
      <c r="W7" s="1036">
        <f>U7+J7+K7</f>
        <v>822.22378968000021</v>
      </c>
      <c r="X7" s="364">
        <f>+W7+V7</f>
        <v>2764.083412037121</v>
      </c>
    </row>
    <row r="8" spans="1:28" s="364" customFormat="1" x14ac:dyDescent="0.35">
      <c r="A8" s="1122" t="s">
        <v>309</v>
      </c>
      <c r="B8" s="1122" t="s">
        <v>307</v>
      </c>
      <c r="C8" s="1122" t="s">
        <v>824</v>
      </c>
      <c r="D8" s="1122" t="s">
        <v>825</v>
      </c>
      <c r="E8" s="1122" t="s">
        <v>824</v>
      </c>
      <c r="F8" s="1122" t="s">
        <v>825</v>
      </c>
      <c r="G8" s="1122"/>
      <c r="H8" s="1122"/>
      <c r="I8" s="1043">
        <f>SUM(J8:U8)</f>
        <v>46940.870193330455</v>
      </c>
      <c r="J8" s="1036">
        <f>('Tariff Rand Values 2024-25 Actu'!J8*'MSCOA - Tariff Structure'!$S$2)+'Tariff Rand Values 2024-25 Actu'!J8</f>
        <v>7903.9606098044569</v>
      </c>
      <c r="K8" s="1036">
        <f>('Tariff Rand Values 2024-25 Actu'!K8*'MSCOA - Tariff Structure'!$S$2)+'Tariff Rand Values 2024-25 Actu'!K8</f>
        <v>7879.6139764629261</v>
      </c>
      <c r="L8" s="1036">
        <f>('Tariff Rand Values 2024-25 Actu'!L8*'MSCOA - Tariff Structure'!$S$2)+'Tariff Rand Values 2024-25 Actu'!L8</f>
        <v>4058.4304793150977</v>
      </c>
      <c r="M8" s="1036">
        <f>('Tariff Rand Values 2024-25 Actu'!M8*'MSCOA - Tariff Structure'!$S$2)+'Tariff Rand Values 2024-25 Actu'!M8</f>
        <v>3647.1601411703291</v>
      </c>
      <c r="N8" s="1036">
        <f>('Tariff Rand Values 2024-25 Actu'!N8*'MSCOA - Tariff Structure'!$S$2)+'Tariff Rand Values 2024-25 Actu'!N8</f>
        <v>4032.8778678052049</v>
      </c>
      <c r="O8" s="1036">
        <f>('Tariff Rand Values 2024-25 Actu'!O8*'MSCOA - Tariff Structure'!$S$2)+'Tariff Rand Values 2024-25 Actu'!O8</f>
        <v>3647.1601411703291</v>
      </c>
      <c r="P8" s="1036">
        <f>('Tariff Rand Values 2024-25 Actu'!P8*'MSCOA - Tariff Structure'!$S$2)+'Tariff Rand Values 2024-25 Actu'!P8</f>
        <v>3706.1845619721075</v>
      </c>
      <c r="Q8" s="1036">
        <f>('Tariff Rand Values 2024-25 Actu'!Q8*'MSCOA - Tariff Structure'!$S$2)+'Tariff Rand Values 2024-25 Actu'!Q8</f>
        <v>3623.8249050393938</v>
      </c>
      <c r="R8" s="1036">
        <f>('Tariff Rand Values 2024-25 Actu'!R8*'MSCOA - Tariff Structure'!$S$2)+'Tariff Rand Values 2024-25 Actu'!R8</f>
        <v>2735.7123156011999</v>
      </c>
      <c r="S8" s="1036">
        <f>('Tariff Rand Values 2024-25 Actu'!S8*'MSCOA - Tariff Structure'!$S$2)+'Tariff Rand Values 2024-25 Actu'!S8</f>
        <v>2693.6244338227202</v>
      </c>
      <c r="T8" s="1036">
        <f>('Tariff Rand Values 2024-25 Actu'!T8*'MSCOA - Tariff Structure'!$S$2)+'Tariff Rand Values 2024-25 Actu'!T8</f>
        <v>2016.9807959994644</v>
      </c>
      <c r="U8" s="1036">
        <f>('Tariff Rand Values 2024-25 Actu'!U8*'MSCOA - Tariff Structure'!$S$2)+'Tariff Rand Values 2024-25 Actu'!U8</f>
        <v>995.33996516722277</v>
      </c>
      <c r="V8" s="1036">
        <f>SUM(L8:T8)</f>
        <v>30161.955641895845</v>
      </c>
      <c r="W8" s="1036">
        <f>U8+J8+K8</f>
        <v>16778.914551434606</v>
      </c>
      <c r="X8" s="364">
        <f>+V8+W8</f>
        <v>46940.870193330455</v>
      </c>
    </row>
    <row r="9" spans="1:28" s="364" customFormat="1" x14ac:dyDescent="0.35">
      <c r="A9" s="1122" t="s">
        <v>309</v>
      </c>
      <c r="B9" s="1122" t="s">
        <v>307</v>
      </c>
      <c r="C9" s="1122" t="s">
        <v>824</v>
      </c>
      <c r="D9" s="1122" t="s">
        <v>825</v>
      </c>
      <c r="E9" s="1122"/>
      <c r="F9" s="1122"/>
      <c r="G9" s="1122"/>
      <c r="H9" s="1122"/>
      <c r="I9" s="1043">
        <f>SUM(J9:U9)</f>
        <v>39220.08024146947</v>
      </c>
      <c r="J9" s="1036">
        <f>('Tariff Rand Values 2024-25 Actu'!J9*'MSCOA - Tariff Structure'!$S$2)+'Tariff Rand Values 2024-25 Actu'!J9</f>
        <v>6255.7900514474904</v>
      </c>
      <c r="K9" s="1036">
        <f>('Tariff Rand Values 2024-25 Actu'!K9*'MSCOA - Tariff Structure'!$S$2)+'Tariff Rand Values 2024-25 Actu'!K9</f>
        <v>6266.5173279003848</v>
      </c>
      <c r="L9" s="1036">
        <f>('Tariff Rand Values 2024-25 Actu'!L9*'MSCOA - Tariff Structure'!$S$2)+'Tariff Rand Values 2024-25 Actu'!L9</f>
        <v>3711.7016030935615</v>
      </c>
      <c r="M9" s="1036">
        <f>('Tariff Rand Values 2024-25 Actu'!M9*'MSCOA - Tariff Structure'!$S$2)+'Tariff Rand Values 2024-25 Actu'!M9</f>
        <v>3439.0874946675904</v>
      </c>
      <c r="N9" s="1036">
        <f>('Tariff Rand Values 2024-25 Actu'!N9*'MSCOA - Tariff Structure'!$S$2)+'Tariff Rand Values 2024-25 Actu'!N9</f>
        <v>2959.5633124045708</v>
      </c>
      <c r="O9" s="1036">
        <f>('Tariff Rand Values 2024-25 Actu'!O9*'MSCOA - Tariff Structure'!$S$2)+'Tariff Rand Values 2024-25 Actu'!O9</f>
        <v>3184.3402728403621</v>
      </c>
      <c r="P9" s="1036">
        <f>('Tariff Rand Values 2024-25 Actu'!P9*'MSCOA - Tariff Structure'!$S$2)+'Tariff Rand Values 2024-25 Actu'!P9</f>
        <v>2809.7120054473776</v>
      </c>
      <c r="Q9" s="1036">
        <f>('Tariff Rand Values 2024-25 Actu'!Q9*'MSCOA - Tariff Structure'!$S$2)+'Tariff Rand Values 2024-25 Actu'!Q9</f>
        <v>2360.1580845757971</v>
      </c>
      <c r="R9" s="1036">
        <f>('Tariff Rand Values 2024-25 Actu'!R9*'MSCOA - Tariff Structure'!$S$2)+'Tariff Rand Values 2024-25 Actu'!R9</f>
        <v>2871.6687543625271</v>
      </c>
      <c r="S9" s="1036">
        <f>('Tariff Rand Values 2024-25 Actu'!S9*'MSCOA - Tariff Structure'!$S$2)+'Tariff Rand Values 2024-25 Actu'!S9</f>
        <v>2871.6687543625271</v>
      </c>
      <c r="T9" s="1036">
        <f>('Tariff Rand Values 2024-25 Actu'!T9*'MSCOA - Tariff Structure'!$S$2)+'Tariff Rand Values 2024-25 Actu'!T9</f>
        <v>1699.2122806878851</v>
      </c>
      <c r="U9" s="1036">
        <f>('Tariff Rand Values 2024-25 Actu'!U9*'MSCOA - Tariff Structure'!$S$2)+'Tariff Rand Values 2024-25 Actu'!U9</f>
        <v>790.66029967938675</v>
      </c>
      <c r="V9" s="1036">
        <f>SUM(L9:T9)</f>
        <v>25907.112562442198</v>
      </c>
      <c r="W9" s="1036">
        <f>U9+J9+K9</f>
        <v>13312.967679027262</v>
      </c>
      <c r="X9" s="364">
        <f>+V9+W9</f>
        <v>39220.080241469463</v>
      </c>
    </row>
    <row r="10" spans="1:28" s="364" customFormat="1" ht="15" thickBot="1" x14ac:dyDescent="0.4">
      <c r="A10" s="359" t="s">
        <v>1484</v>
      </c>
      <c r="I10" s="1060">
        <f>SUM(I11:I12)</f>
        <v>1654716686.8035235</v>
      </c>
      <c r="J10" s="1125"/>
      <c r="K10" s="1125"/>
      <c r="L10" s="1125"/>
      <c r="M10" s="1125"/>
      <c r="N10" s="1125"/>
      <c r="O10" s="1125"/>
      <c r="P10" s="1125"/>
      <c r="Q10" s="1125"/>
      <c r="R10" s="1125"/>
      <c r="S10" s="1125"/>
      <c r="T10" s="1125"/>
      <c r="U10" s="1125"/>
      <c r="V10" s="611">
        <f>V9+V8+V7</f>
        <v>58010.927826695166</v>
      </c>
      <c r="W10" s="611">
        <f>W9+W8+W7</f>
        <v>30914.106020141866</v>
      </c>
      <c r="X10" s="364">
        <f>+X9+X8</f>
        <v>86160.950434799917</v>
      </c>
    </row>
    <row r="11" spans="1:28" s="364" customFormat="1" ht="15" thickTop="1" x14ac:dyDescent="0.35">
      <c r="A11" s="1122" t="s">
        <v>305</v>
      </c>
      <c r="B11" s="1122" t="s">
        <v>252</v>
      </c>
      <c r="C11" s="1122" t="s">
        <v>1042</v>
      </c>
      <c r="D11" s="1122" t="s">
        <v>1045</v>
      </c>
      <c r="E11" s="1122" t="s">
        <v>1042</v>
      </c>
      <c r="F11" s="1122" t="s">
        <v>1045</v>
      </c>
      <c r="G11" s="1122"/>
      <c r="H11" s="1122"/>
      <c r="I11" s="1043">
        <f>SUM(J11:U11)</f>
        <v>1259111280.6792333</v>
      </c>
      <c r="J11" s="1036">
        <f>('Tariff Rand Values 2024-25 Actu'!J11*'MSCOA - Tariff Structure'!$S$2)+'Tariff Rand Values 2024-25 Actu'!J11</f>
        <v>140681925.07043999</v>
      </c>
      <c r="K11" s="1036">
        <f>('Tariff Rand Values 2024-25 Actu'!K11*'MSCOA - Tariff Structure'!$S$2)+'Tariff Rand Values 2024-25 Actu'!K11</f>
        <v>137754682.93600678</v>
      </c>
      <c r="L11" s="1036">
        <f>('Tariff Rand Values 2024-25 Actu'!L11*'MSCOA - Tariff Structure'!$S$2)+'Tariff Rand Values 2024-25 Actu'!L11</f>
        <v>128459047.73402441</v>
      </c>
      <c r="M11" s="1036">
        <f>('Tariff Rand Values 2024-25 Actu'!M11*'MSCOA - Tariff Structure'!$S$2)+'Tariff Rand Values 2024-25 Actu'!M11</f>
        <v>129225331.71609488</v>
      </c>
      <c r="N11" s="1036">
        <f>('Tariff Rand Values 2024-25 Actu'!N11*'MSCOA - Tariff Structure'!$S$2)+'Tariff Rand Values 2024-25 Actu'!N11</f>
        <v>129633336.82098414</v>
      </c>
      <c r="O11" s="1036">
        <f>('Tariff Rand Values 2024-25 Actu'!O11*'MSCOA - Tariff Structure'!$S$2)+'Tariff Rand Values 2024-25 Actu'!O11</f>
        <v>126653641.75939539</v>
      </c>
      <c r="P11" s="1036">
        <f>('Tariff Rand Values 2024-25 Actu'!P11*'MSCOA - Tariff Structure'!$S$2)+'Tariff Rand Values 2024-25 Actu'!P11</f>
        <v>121031765.48080571</v>
      </c>
      <c r="Q11" s="1036">
        <f>('Tariff Rand Values 2024-25 Actu'!Q11*'MSCOA - Tariff Structure'!$S$2)+'Tariff Rand Values 2024-25 Actu'!Q11</f>
        <v>58234418.429946288</v>
      </c>
      <c r="R11" s="1036">
        <f>('Tariff Rand Values 2024-25 Actu'!R11*'MSCOA - Tariff Structure'!$S$2)+'Tariff Rand Values 2024-25 Actu'!R11</f>
        <v>44783012.983067088</v>
      </c>
      <c r="S11" s="1036">
        <f>('Tariff Rand Values 2024-25 Actu'!S11*'MSCOA - Tariff Structure'!$S$2)+'Tariff Rand Values 2024-25 Actu'!S11</f>
        <v>43596450.850693882</v>
      </c>
      <c r="T11" s="1036">
        <f>('Tariff Rand Values 2024-25 Actu'!T11*'MSCOA - Tariff Structure'!$S$2)+'Tariff Rand Values 2024-25 Actu'!T11</f>
        <v>100514150.50394143</v>
      </c>
      <c r="U11" s="1036">
        <f>('Tariff Rand Values 2024-25 Actu'!U11*'MSCOA - Tariff Structure'!$S$2)+'Tariff Rand Values 2024-25 Actu'!U11</f>
        <v>98543516.393833145</v>
      </c>
      <c r="V11" s="1036">
        <f>SUM(L11:T11)</f>
        <v>882131156.27895319</v>
      </c>
      <c r="W11" s="1036">
        <f>U11+J11+K11</f>
        <v>376980124.40027994</v>
      </c>
    </row>
    <row r="12" spans="1:28" s="364" customFormat="1" x14ac:dyDescent="0.35">
      <c r="A12" s="1122" t="s">
        <v>305</v>
      </c>
      <c r="B12" s="1122" t="s">
        <v>252</v>
      </c>
      <c r="C12" s="1122" t="s">
        <v>1042</v>
      </c>
      <c r="D12" s="1122" t="s">
        <v>1045</v>
      </c>
      <c r="E12" s="1122" t="s">
        <v>1042</v>
      </c>
      <c r="F12" s="1122" t="s">
        <v>1045</v>
      </c>
      <c r="G12" s="1122"/>
      <c r="H12" s="1122"/>
      <c r="I12" s="1043">
        <f>SUM(J12:U12)</f>
        <v>395605406.12429035</v>
      </c>
      <c r="J12" s="1036">
        <f>('Tariff Rand Values 2024-25 Actu'!J12*'MSCOA - Tariff Structure'!$S$2)+'Tariff Rand Values 2024-25 Actu'!J12</f>
        <v>40368587.836483985</v>
      </c>
      <c r="K12" s="1036">
        <f>('Tariff Rand Values 2024-25 Actu'!K12*'MSCOA - Tariff Structure'!$S$2)+'Tariff Rand Values 2024-25 Actu'!K12</f>
        <v>39770309.094977535</v>
      </c>
      <c r="L12" s="1036">
        <f>('Tariff Rand Values 2024-25 Actu'!L12*'MSCOA - Tariff Structure'!$S$2)+'Tariff Rand Values 2024-25 Actu'!L12</f>
        <v>31144041.45379854</v>
      </c>
      <c r="M12" s="1036">
        <f>('Tariff Rand Values 2024-25 Actu'!M12*'MSCOA - Tariff Structure'!$S$2)+'Tariff Rand Values 2024-25 Actu'!M12</f>
        <v>29980089.515527606</v>
      </c>
      <c r="N12" s="1036">
        <f>('Tariff Rand Values 2024-25 Actu'!N12*'MSCOA - Tariff Structure'!$S$2)+'Tariff Rand Values 2024-25 Actu'!N12</f>
        <v>30029434.558340658</v>
      </c>
      <c r="O12" s="1036">
        <f>('Tariff Rand Values 2024-25 Actu'!O12*'MSCOA - Tariff Structure'!$S$2)+'Tariff Rand Values 2024-25 Actu'!O12</f>
        <v>29698785.303766526</v>
      </c>
      <c r="P12" s="1036">
        <f>('Tariff Rand Values 2024-25 Actu'!P12*'MSCOA - Tariff Structure'!$S$2)+'Tariff Rand Values 2024-25 Actu'!P12</f>
        <v>28117625.934865877</v>
      </c>
      <c r="Q12" s="1036">
        <f>('Tariff Rand Values 2024-25 Actu'!Q12*'MSCOA - Tariff Structure'!$S$2)+'Tariff Rand Values 2024-25 Actu'!Q12</f>
        <v>26534218.989978578</v>
      </c>
      <c r="R12" s="1036">
        <f>('Tariff Rand Values 2024-25 Actu'!R12*'MSCOA - Tariff Structure'!$S$2)+'Tariff Rand Values 2024-25 Actu'!R12</f>
        <v>22883957.078513943</v>
      </c>
      <c r="S12" s="1036">
        <f>('Tariff Rand Values 2024-25 Actu'!S12*'MSCOA - Tariff Structure'!$S$2)+'Tariff Rand Values 2024-25 Actu'!S12</f>
        <v>24544945.841164649</v>
      </c>
      <c r="T12" s="1036">
        <f>('Tariff Rand Values 2024-25 Actu'!T12*'MSCOA - Tariff Structure'!$S$2)+'Tariff Rand Values 2024-25 Actu'!T12</f>
        <v>28332132.716342103</v>
      </c>
      <c r="U12" s="1036">
        <f>('Tariff Rand Values 2024-25 Actu'!U12*'MSCOA - Tariff Structure'!$S$2)+'Tariff Rand Values 2024-25 Actu'!U12</f>
        <v>64201277.800530382</v>
      </c>
      <c r="V12" s="1036">
        <f>SUM(L12:T12)</f>
        <v>251265231.39229846</v>
      </c>
      <c r="W12" s="1036">
        <f>U12+J12+K12</f>
        <v>144340174.73199189</v>
      </c>
    </row>
    <row r="13" spans="1:28" s="364" customFormat="1" ht="15" thickBot="1" x14ac:dyDescent="0.4">
      <c r="A13" s="359" t="s">
        <v>1483</v>
      </c>
      <c r="I13" s="1060">
        <f>SUM(I14:I15)</f>
        <v>23682773.03001862</v>
      </c>
      <c r="J13" s="611"/>
      <c r="K13" s="611"/>
      <c r="L13" s="611"/>
      <c r="M13" s="611"/>
      <c r="N13" s="611"/>
      <c r="O13" s="611"/>
      <c r="P13" s="611"/>
      <c r="Q13" s="611"/>
      <c r="R13" s="611"/>
      <c r="S13" s="611"/>
      <c r="T13" s="611"/>
      <c r="U13" s="611"/>
      <c r="V13" s="611">
        <f>+V12+V11</f>
        <v>1133396387.6712518</v>
      </c>
      <c r="W13" s="611">
        <f>+W12+W11</f>
        <v>521320299.13227183</v>
      </c>
    </row>
    <row r="14" spans="1:28" s="364" customFormat="1" ht="15" thickTop="1" x14ac:dyDescent="0.35">
      <c r="A14" s="1122" t="s">
        <v>305</v>
      </c>
      <c r="B14" s="1122" t="s">
        <v>252</v>
      </c>
      <c r="C14" s="1122" t="s">
        <v>1042</v>
      </c>
      <c r="D14" s="1122" t="s">
        <v>1045</v>
      </c>
      <c r="E14" s="1122"/>
      <c r="F14" s="1122"/>
      <c r="G14" s="1122"/>
      <c r="H14" s="1122"/>
      <c r="I14" s="1043">
        <f>SUM(J14:U14)</f>
        <v>5808747.7139565554</v>
      </c>
      <c r="J14" s="1036">
        <f>('Tariff Rand Values 2024-25 Actu'!J14*'MSCOA - Tariff Structure'!$S$2)+'Tariff Rand Values 2024-25 Actu'!J14</f>
        <v>677752.2541653607</v>
      </c>
      <c r="K14" s="1036">
        <f>('Tariff Rand Values 2024-25 Actu'!K14*'MSCOA - Tariff Structure'!$S$2)+'Tariff Rand Values 2024-25 Actu'!K14</f>
        <v>677752.2541653607</v>
      </c>
      <c r="L14" s="1036">
        <f>('Tariff Rand Values 2024-25 Actu'!L14*'MSCOA - Tariff Structure'!$S$2)+'Tariff Rand Values 2024-25 Actu'!L14</f>
        <v>501371.83947487618</v>
      </c>
      <c r="M14" s="1036">
        <f>('Tariff Rand Values 2024-25 Actu'!M14*'MSCOA - Tariff Structure'!$S$2)+'Tariff Rand Values 2024-25 Actu'!M14</f>
        <v>501371.83947487618</v>
      </c>
      <c r="N14" s="1036">
        <f>('Tariff Rand Values 2024-25 Actu'!N14*'MSCOA - Tariff Structure'!$S$2)+'Tariff Rand Values 2024-25 Actu'!N14</f>
        <v>501371.83947487618</v>
      </c>
      <c r="O14" s="1036">
        <f>('Tariff Rand Values 2024-25 Actu'!O14*'MSCOA - Tariff Structure'!$S$2)+'Tariff Rand Values 2024-25 Actu'!O14</f>
        <v>481573.80525868572</v>
      </c>
      <c r="P14" s="1036">
        <f>('Tariff Rand Values 2024-25 Actu'!P14*'MSCOA - Tariff Structure'!$S$2)+'Tariff Rand Values 2024-25 Actu'!P14</f>
        <v>481573.80525868572</v>
      </c>
      <c r="Q14" s="1036">
        <f>('Tariff Rand Values 2024-25 Actu'!Q14*'MSCOA - Tariff Structure'!$S$2)+'Tariff Rand Values 2024-25 Actu'!Q14</f>
        <v>476222.98520025576</v>
      </c>
      <c r="R14" s="1036">
        <f>('Tariff Rand Values 2024-25 Actu'!R14*'MSCOA - Tariff Structure'!$S$2)+'Tariff Rand Values 2024-25 Actu'!R14</f>
        <v>365043.10692451365</v>
      </c>
      <c r="S14" s="1036">
        <f>('Tariff Rand Values 2024-25 Actu'!S14*'MSCOA - Tariff Structure'!$S$2)+'Tariff Rand Values 2024-25 Actu'!S14</f>
        <v>365043.10692451365</v>
      </c>
      <c r="T14" s="1036">
        <f>('Tariff Rand Values 2024-25 Actu'!T14*'MSCOA - Tariff Structure'!$S$2)+'Tariff Rand Values 2024-25 Actu'!T14</f>
        <v>348636.67515262536</v>
      </c>
      <c r="U14" s="1036">
        <f>('Tariff Rand Values 2024-25 Actu'!U14*'MSCOA - Tariff Structure'!$S$2)+'Tariff Rand Values 2024-25 Actu'!U14</f>
        <v>431034.20248192607</v>
      </c>
      <c r="V14" s="1036">
        <f>SUM(L14:T14)</f>
        <v>4022209.0031439085</v>
      </c>
      <c r="W14" s="1036">
        <f>U14+J14+K14</f>
        <v>1786538.7108126474</v>
      </c>
    </row>
    <row r="15" spans="1:28" s="364" customFormat="1" x14ac:dyDescent="0.35">
      <c r="A15" s="1122" t="s">
        <v>305</v>
      </c>
      <c r="B15" s="1122" t="s">
        <v>252</v>
      </c>
      <c r="C15" s="1122" t="s">
        <v>1042</v>
      </c>
      <c r="D15" s="1122" t="s">
        <v>1045</v>
      </c>
      <c r="E15" s="1122"/>
      <c r="F15" s="1122"/>
      <c r="G15" s="1122"/>
      <c r="H15" s="1122"/>
      <c r="I15" s="1043">
        <f>SUM(J15:U15)</f>
        <v>17874025.316062067</v>
      </c>
      <c r="J15" s="1036">
        <f>('Tariff Rand Values 2024-25 Actu'!J15*'MSCOA - Tariff Structure'!$S$2)+'Tariff Rand Values 2024-25 Actu'!J15</f>
        <v>2138067.4444389688</v>
      </c>
      <c r="K15" s="1036">
        <f>('Tariff Rand Values 2024-25 Actu'!K15*'MSCOA - Tariff Structure'!$S$2)+'Tariff Rand Values 2024-25 Actu'!K15</f>
        <v>1170768.1401801519</v>
      </c>
      <c r="L15" s="1036">
        <f>('Tariff Rand Values 2024-25 Actu'!L15*'MSCOA - Tariff Structure'!$S$2)+'Tariff Rand Values 2024-25 Actu'!L15</f>
        <v>2221136.6499622944</v>
      </c>
      <c r="M15" s="1036">
        <f>('Tariff Rand Values 2024-25 Actu'!M15*'MSCOA - Tariff Structure'!$S$2)+'Tariff Rand Values 2024-25 Actu'!M15</f>
        <v>2203506.4811695926</v>
      </c>
      <c r="N15" s="1036">
        <f>('Tariff Rand Values 2024-25 Actu'!N15*'MSCOA - Tariff Structure'!$S$2)+'Tariff Rand Values 2024-25 Actu'!N15</f>
        <v>1730022.3326083825</v>
      </c>
      <c r="O15" s="1036">
        <f>('Tariff Rand Values 2024-25 Actu'!O15*'MSCOA - Tariff Structure'!$S$2)+'Tariff Rand Values 2024-25 Actu'!O15</f>
        <v>1846996.7080106218</v>
      </c>
      <c r="P15" s="1036">
        <f>('Tariff Rand Values 2024-25 Actu'!P15*'MSCOA - Tariff Structure'!$S$2)+'Tariff Rand Values 2024-25 Actu'!P15</f>
        <v>2100800.0984576517</v>
      </c>
      <c r="Q15" s="1036">
        <f>('Tariff Rand Values 2024-25 Actu'!Q15*'MSCOA - Tariff Structure'!$S$2)+'Tariff Rand Values 2024-25 Actu'!Q15</f>
        <v>908720.91181062383</v>
      </c>
      <c r="R15" s="1036">
        <f>('Tariff Rand Values 2024-25 Actu'!R15*'MSCOA - Tariff Structure'!$S$2)+'Tariff Rand Values 2024-25 Actu'!R15</f>
        <v>880974.044691941</v>
      </c>
      <c r="S15" s="1036">
        <f>('Tariff Rand Values 2024-25 Actu'!S15*'MSCOA - Tariff Structure'!$S$2)+'Tariff Rand Values 2024-25 Actu'!S15</f>
        <v>867174.39385041373</v>
      </c>
      <c r="T15" s="1036">
        <f>('Tariff Rand Values 2024-25 Actu'!T15*'MSCOA - Tariff Structure'!$S$2)+'Tariff Rand Values 2024-25 Actu'!T15</f>
        <v>594132.91714093694</v>
      </c>
      <c r="U15" s="1036">
        <f>('Tariff Rand Values 2024-25 Actu'!U15*'MSCOA - Tariff Structure'!$S$2)+'Tariff Rand Values 2024-25 Actu'!U15</f>
        <v>1211725.1937404876</v>
      </c>
      <c r="V15" s="1036">
        <f>SUM(L15:T15)</f>
        <v>13353464.537702458</v>
      </c>
      <c r="W15" s="1036">
        <f>U15+J15+K15</f>
        <v>4520560.7783596087</v>
      </c>
    </row>
    <row r="16" spans="1:28" s="364" customFormat="1" ht="15" thickBot="1" x14ac:dyDescent="0.4">
      <c r="A16" s="359" t="s">
        <v>537</v>
      </c>
      <c r="I16" s="1060">
        <f>SUM(I17:I20)</f>
        <v>1025885.2331391467</v>
      </c>
      <c r="J16" s="1125"/>
      <c r="K16" s="1125"/>
      <c r="L16" s="1125"/>
      <c r="M16" s="1125"/>
      <c r="N16" s="1125"/>
      <c r="O16" s="1125"/>
      <c r="P16" s="1125"/>
      <c r="Q16" s="1125"/>
      <c r="R16" s="1125"/>
      <c r="S16" s="1125"/>
      <c r="T16" s="1125"/>
      <c r="U16" s="1125"/>
      <c r="V16" s="611">
        <f>+V15+V14</f>
        <v>17375673.540846366</v>
      </c>
      <c r="W16" s="611">
        <f>+W15+W14</f>
        <v>6307099.4891722556</v>
      </c>
    </row>
    <row r="17" spans="1:26" s="364" customFormat="1" ht="15" thickTop="1" x14ac:dyDescent="0.35">
      <c r="A17" s="1040" t="s">
        <v>371</v>
      </c>
      <c r="B17" s="1040" t="s">
        <v>371</v>
      </c>
      <c r="C17" s="1040" t="s">
        <v>838</v>
      </c>
      <c r="D17" s="1040" t="s">
        <v>838</v>
      </c>
      <c r="E17" s="1040" t="s">
        <v>839</v>
      </c>
      <c r="F17" s="1040" t="s">
        <v>839</v>
      </c>
      <c r="G17" s="1040"/>
      <c r="H17" s="1040"/>
      <c r="I17" s="1041">
        <f>SUM(J17:U17)</f>
        <v>216672.07048272796</v>
      </c>
      <c r="J17" s="1041">
        <f>'Tariff SUMMARY 25-26'!$B$10*'Annexure A'!$S$27</f>
        <v>18056.005873560658</v>
      </c>
      <c r="K17" s="1041">
        <f>'Tariff SUMMARY 25-26'!$B$10*'Annexure A'!$S$27</f>
        <v>18056.005873560658</v>
      </c>
      <c r="L17" s="1041">
        <f>'Tariff SUMMARY 25-26'!$B$10*'Annexure A'!$S$27</f>
        <v>18056.005873560658</v>
      </c>
      <c r="M17" s="1041">
        <f>'Tariff SUMMARY 25-26'!$B$10*'Annexure A'!$S$27</f>
        <v>18056.005873560658</v>
      </c>
      <c r="N17" s="1041">
        <f>'Tariff SUMMARY 25-26'!$B$10*'Annexure A'!$S$27</f>
        <v>18056.005873560658</v>
      </c>
      <c r="O17" s="1041">
        <f>'Tariff SUMMARY 25-26'!$B$10*'Annexure A'!$S$27</f>
        <v>18056.005873560658</v>
      </c>
      <c r="P17" s="1041">
        <f>'Tariff SUMMARY 25-26'!$B$10*'Annexure A'!$S$27</f>
        <v>18056.005873560658</v>
      </c>
      <c r="Q17" s="1041">
        <f>'Tariff SUMMARY 25-26'!$B$10*'Annexure A'!$S$27</f>
        <v>18056.005873560658</v>
      </c>
      <c r="R17" s="1041">
        <f>'Tariff SUMMARY 25-26'!$B$10*'Annexure A'!$S$27</f>
        <v>18056.005873560658</v>
      </c>
      <c r="S17" s="1041">
        <f>'Tariff SUMMARY 25-26'!$B$10*'Annexure A'!$S$27</f>
        <v>18056.005873560658</v>
      </c>
      <c r="T17" s="1041">
        <f>'Tariff SUMMARY 25-26'!$B$10*'Annexure A'!$S$27</f>
        <v>18056.005873560658</v>
      </c>
      <c r="U17" s="1041">
        <f>'Tariff SUMMARY 25-26'!$B$10*'Annexure A'!$S$27</f>
        <v>18056.005873560658</v>
      </c>
      <c r="V17" s="1041">
        <f>SUM(L17:T17)</f>
        <v>162504.05286204594</v>
      </c>
      <c r="W17" s="1041">
        <f>U17+J17+K17</f>
        <v>54168.017620681974</v>
      </c>
      <c r="X17" s="364">
        <f>+V21+W21</f>
        <v>1025885.2331391466</v>
      </c>
    </row>
    <row r="18" spans="1:26" s="364" customFormat="1" x14ac:dyDescent="0.35">
      <c r="A18" s="1038" t="s">
        <v>381</v>
      </c>
      <c r="B18" s="1038" t="s">
        <v>375</v>
      </c>
      <c r="C18" s="1038" t="s">
        <v>834</v>
      </c>
      <c r="D18" s="1038" t="s">
        <v>836</v>
      </c>
      <c r="E18" s="1122" t="s">
        <v>827</v>
      </c>
      <c r="F18" s="1122" t="s">
        <v>830</v>
      </c>
      <c r="G18" s="1122"/>
      <c r="H18" s="1122"/>
      <c r="I18" s="1043">
        <f>SUM(J18:U18)</f>
        <v>189591.71908718869</v>
      </c>
      <c r="J18" s="1036">
        <v>33101.32</v>
      </c>
      <c r="K18" s="1036">
        <v>32400.873600000003</v>
      </c>
      <c r="L18" s="1036">
        <v>12110.976360000001</v>
      </c>
      <c r="M18" s="1036">
        <v>12766.04356</v>
      </c>
      <c r="N18" s="1036">
        <f>('Tariff Rand Values 2024-25 Actu'!N18*'MSCOA - Tariff Structure'!$S$2)+'Tariff Rand Values 2024-25 Actu'!N18</f>
        <v>11211.270560000001</v>
      </c>
      <c r="O18" s="1036">
        <f>('Tariff Rand Values 2024-25 Actu'!O18*'MSCOA - Tariff Structure'!$S$2)+'Tariff Rand Values 2024-25 Actu'!O18</f>
        <v>12301.348239999999</v>
      </c>
      <c r="P18" s="1036">
        <f>('Tariff Rand Values 2024-25 Actu'!P18*'MSCOA - Tariff Structure'!$S$2)+'Tariff Rand Values 2024-25 Actu'!P18</f>
        <v>13505.837879999999</v>
      </c>
      <c r="Q18" s="1036">
        <f>('Tariff Rand Values 2024-25 Actu'!Q18*'MSCOA - Tariff Structure'!$S$2)+'Tariff Rand Values 2024-25 Actu'!Q18</f>
        <v>13185.688959999999</v>
      </c>
      <c r="R18" s="1036">
        <f>('Tariff Rand Values 2024-25 Actu'!R18*'MSCOA - Tariff Structure'!$S$2)+'Tariff Rand Values 2024-25 Actu'!R18</f>
        <v>5980.0577118185265</v>
      </c>
      <c r="S18" s="1036">
        <f>('Tariff Rand Values 2024-25 Actu'!S18*'MSCOA - Tariff Structure'!$S$2)+'Tariff Rand Values 2024-25 Actu'!S18</f>
        <v>6006.8488215861644</v>
      </c>
      <c r="T18" s="1036">
        <f>('Tariff Rand Values 2024-25 Actu'!T18*'MSCOA - Tariff Structure'!$S$2)+'Tariff Rand Values 2024-25 Actu'!T18</f>
        <v>6961.4583643593633</v>
      </c>
      <c r="U18" s="1036">
        <f>('Tariff Rand Values 2024-25 Actu'!U18*'MSCOA - Tariff Structure'!$S$2)+'Tariff Rand Values 2024-25 Actu'!U18</f>
        <v>30059.995029424612</v>
      </c>
      <c r="V18" s="1036">
        <f>SUM(L18:T18)</f>
        <v>94029.530457764049</v>
      </c>
      <c r="W18" s="1036">
        <f>U18+J18+K18</f>
        <v>95562.188629424621</v>
      </c>
    </row>
    <row r="19" spans="1:26" s="364" customFormat="1" x14ac:dyDescent="0.35">
      <c r="A19" s="1038" t="s">
        <v>383</v>
      </c>
      <c r="B19" s="1038" t="s">
        <v>377</v>
      </c>
      <c r="C19" s="1038" t="s">
        <v>832</v>
      </c>
      <c r="D19" s="1038" t="s">
        <v>835</v>
      </c>
      <c r="E19" s="1122" t="s">
        <v>826</v>
      </c>
      <c r="F19" s="1122" t="s">
        <v>829</v>
      </c>
      <c r="G19" s="1122"/>
      <c r="H19" s="1122"/>
      <c r="I19" s="1043">
        <f>SUM(J19:U19)</f>
        <v>290820.39311156038</v>
      </c>
      <c r="J19" s="1036">
        <v>51705.62</v>
      </c>
      <c r="K19" s="1036">
        <v>39530.30444</v>
      </c>
      <c r="L19" s="1036">
        <v>21869.97148</v>
      </c>
      <c r="M19" s="1036">
        <v>21210.959039999998</v>
      </c>
      <c r="N19" s="1036">
        <f>('Tariff Rand Values 2024-25 Actu'!N19*'MSCOA - Tariff Structure'!$S$2)+'Tariff Rand Values 2024-25 Actu'!N19</f>
        <v>19652.004760000003</v>
      </c>
      <c r="O19" s="1036">
        <f>('Tariff Rand Values 2024-25 Actu'!O19*'MSCOA - Tariff Structure'!$S$2)+'Tariff Rand Values 2024-25 Actu'!O19</f>
        <v>23705.508440000001</v>
      </c>
      <c r="P19" s="1036">
        <f>('Tariff Rand Values 2024-25 Actu'!P19*'MSCOA - Tariff Structure'!$S$2)+'Tariff Rand Values 2024-25 Actu'!P19</f>
        <v>25424.621480000002</v>
      </c>
      <c r="Q19" s="1036">
        <f>('Tariff Rand Values 2024-25 Actu'!Q19*'MSCOA - Tariff Structure'!$S$2)+'Tariff Rand Values 2024-25 Actu'!Q19</f>
        <v>24224.8976</v>
      </c>
      <c r="R19" s="1036">
        <f>('Tariff Rand Values 2024-25 Actu'!R19*'MSCOA - Tariff Structure'!$S$2)+'Tariff Rand Values 2024-25 Actu'!R19</f>
        <v>10469.966749389905</v>
      </c>
      <c r="S19" s="1036">
        <f>('Tariff Rand Values 2024-25 Actu'!S19*'MSCOA - Tariff Structure'!$S$2)+'Tariff Rand Values 2024-25 Actu'!S19</f>
        <v>9858.1611166098992</v>
      </c>
      <c r="T19" s="1036">
        <f>('Tariff Rand Values 2024-25 Actu'!T19*'MSCOA - Tariff Structure'!$S$2)+'Tariff Rand Values 2024-25 Actu'!T19</f>
        <v>12914.016563313144</v>
      </c>
      <c r="U19" s="1036">
        <f>('Tariff Rand Values 2024-25 Actu'!U19*'MSCOA - Tariff Structure'!$S$2)+'Tariff Rand Values 2024-25 Actu'!U19</f>
        <v>30254.361442247391</v>
      </c>
      <c r="V19" s="1036">
        <f>SUM(L19:T19)</f>
        <v>169330.10722931297</v>
      </c>
      <c r="W19" s="1036">
        <f>U19+J19+K19</f>
        <v>121490.28588224741</v>
      </c>
    </row>
    <row r="20" spans="1:26" s="364" customFormat="1" x14ac:dyDescent="0.35">
      <c r="A20" s="1038" t="s">
        <v>379</v>
      </c>
      <c r="B20" s="1038" t="s">
        <v>373</v>
      </c>
      <c r="C20" s="1038" t="s">
        <v>833</v>
      </c>
      <c r="D20" s="1038" t="s">
        <v>837</v>
      </c>
      <c r="E20" s="1122" t="s">
        <v>828</v>
      </c>
      <c r="F20" s="1122" t="s">
        <v>831</v>
      </c>
      <c r="G20" s="1122"/>
      <c r="H20" s="1122"/>
      <c r="I20" s="1043">
        <f>SUM(J20:U20)</f>
        <v>328801.05045766965</v>
      </c>
      <c r="J20" s="1036">
        <v>49943.97</v>
      </c>
      <c r="K20" s="1036">
        <v>45238.055119999997</v>
      </c>
      <c r="L20" s="1036">
        <v>23815.84028</v>
      </c>
      <c r="M20" s="1036">
        <v>21354.145400000001</v>
      </c>
      <c r="N20" s="1036">
        <f>('Tariff Rand Values 2024-25 Actu'!N20*'MSCOA - Tariff Structure'!$S$2)+'Tariff Rand Values 2024-25 Actu'!N20</f>
        <v>22909.986200000003</v>
      </c>
      <c r="O20" s="1036">
        <f>('Tariff Rand Values 2024-25 Actu'!O20*'MSCOA - Tariff Structure'!$S$2)+'Tariff Rand Values 2024-25 Actu'!O20</f>
        <v>32018.623680000001</v>
      </c>
      <c r="P20" s="1036">
        <f>('Tariff Rand Values 2024-25 Actu'!P20*'MSCOA - Tariff Structure'!$S$2)+'Tariff Rand Values 2024-25 Actu'!P20</f>
        <v>30783.583719999999</v>
      </c>
      <c r="Q20" s="1036">
        <f>('Tariff Rand Values 2024-25 Actu'!Q20*'MSCOA - Tariff Structure'!$S$2)+'Tariff Rand Values 2024-25 Actu'!Q20</f>
        <v>29590.289120000001</v>
      </c>
      <c r="R20" s="1036">
        <f>('Tariff Rand Values 2024-25 Actu'!R20*'MSCOA - Tariff Structure'!$S$2)+'Tariff Rand Values 2024-25 Actu'!R20</f>
        <v>12540.152997444493</v>
      </c>
      <c r="S20" s="1036">
        <f>('Tariff Rand Values 2024-25 Actu'!S20*'MSCOA - Tariff Structure'!$S$2)+'Tariff Rand Values 2024-25 Actu'!S20</f>
        <v>12077.372262271896</v>
      </c>
      <c r="T20" s="1036">
        <f>('Tariff Rand Values 2024-25 Actu'!T20*'MSCOA - Tariff Structure'!$S$2)+'Tariff Rand Values 2024-25 Actu'!T20</f>
        <v>13875.389216958869</v>
      </c>
      <c r="U20" s="1036">
        <f>('Tariff Rand Values 2024-25 Actu'!U20*'MSCOA - Tariff Structure'!$S$2)+'Tariff Rand Values 2024-25 Actu'!U20</f>
        <v>34653.642460994386</v>
      </c>
      <c r="V20" s="1036">
        <f>SUM(L20:T20)</f>
        <v>198965.38287667528</v>
      </c>
      <c r="W20" s="1036">
        <f>U20+J20+K20</f>
        <v>129835.6675809944</v>
      </c>
    </row>
    <row r="21" spans="1:26" s="364" customFormat="1" ht="15" thickBot="1" x14ac:dyDescent="0.4">
      <c r="A21" s="359" t="s">
        <v>536</v>
      </c>
      <c r="B21" s="359"/>
      <c r="C21" s="359"/>
      <c r="D21" s="359"/>
      <c r="E21" s="359"/>
      <c r="F21" s="359"/>
      <c r="G21" s="359"/>
      <c r="H21" s="359"/>
      <c r="I21" s="1060">
        <f>SUM(I22:I25)</f>
        <v>37654931.397391401</v>
      </c>
      <c r="J21" s="1126"/>
      <c r="K21" s="1126"/>
      <c r="L21" s="1126"/>
      <c r="M21" s="1126"/>
      <c r="N21" s="1126"/>
      <c r="O21" s="1126"/>
      <c r="P21" s="1126"/>
      <c r="Q21" s="1126"/>
      <c r="R21" s="1126"/>
      <c r="S21" s="1126"/>
      <c r="T21" s="1126"/>
      <c r="U21" s="1126"/>
      <c r="V21" s="611">
        <f>+V20+V19+V18+V17</f>
        <v>624829.07342579821</v>
      </c>
      <c r="W21" s="611">
        <f>+W20+W19+W18+W17</f>
        <v>401056.15971334837</v>
      </c>
    </row>
    <row r="22" spans="1:26" s="364" customFormat="1" ht="15" thickTop="1" x14ac:dyDescent="0.35">
      <c r="A22" s="1040" t="s">
        <v>368</v>
      </c>
      <c r="B22" s="1040" t="s">
        <v>368</v>
      </c>
      <c r="C22" s="1040" t="s">
        <v>839</v>
      </c>
      <c r="D22" s="1040" t="s">
        <v>839</v>
      </c>
      <c r="E22" s="1040"/>
      <c r="F22" s="1040" t="s">
        <v>838</v>
      </c>
      <c r="G22" s="1040"/>
      <c r="H22" s="1040"/>
      <c r="I22" s="1041">
        <f>SUM(J22:U22)</f>
        <v>1841402.3761124865</v>
      </c>
      <c r="J22" s="1041">
        <f>'Tariff SUMMARY 25-26'!$B$11*'Annexure A'!$S$35</f>
        <v>153450.19800937391</v>
      </c>
      <c r="K22" s="1041">
        <f>'Tariff SUMMARY 25-26'!$B$11*'Annexure A'!$S$35</f>
        <v>153450.19800937391</v>
      </c>
      <c r="L22" s="1041">
        <f>'Tariff SUMMARY 25-26'!$B$11*'Annexure A'!$S$35</f>
        <v>153450.19800937391</v>
      </c>
      <c r="M22" s="1041">
        <f>'Tariff SUMMARY 25-26'!$B$11*'Annexure A'!$S$35</f>
        <v>153450.19800937391</v>
      </c>
      <c r="N22" s="1041">
        <f>'Tariff SUMMARY 25-26'!$B$11*'Annexure A'!$S$35</f>
        <v>153450.19800937391</v>
      </c>
      <c r="O22" s="1041">
        <f>'Tariff SUMMARY 25-26'!$B$11*'Annexure A'!$S$35</f>
        <v>153450.19800937391</v>
      </c>
      <c r="P22" s="1041">
        <f>'Tariff SUMMARY 25-26'!$B$11*'Annexure A'!$S$35</f>
        <v>153450.19800937391</v>
      </c>
      <c r="Q22" s="1041">
        <f>'Tariff SUMMARY 25-26'!$B$11*'Annexure A'!$S$35</f>
        <v>153450.19800937391</v>
      </c>
      <c r="R22" s="1041">
        <f>'Tariff SUMMARY 25-26'!$B$11*'Annexure A'!$S$35</f>
        <v>153450.19800937391</v>
      </c>
      <c r="S22" s="1041">
        <f>'Tariff SUMMARY 25-26'!$B$11*'Annexure A'!$S$35</f>
        <v>153450.19800937391</v>
      </c>
      <c r="T22" s="1041">
        <f>'Tariff SUMMARY 25-26'!$B$11*'Annexure A'!$S$35</f>
        <v>153450.19800937391</v>
      </c>
      <c r="U22" s="1041">
        <f>'Tariff SUMMARY 25-26'!$B$11*'Annexure A'!$S$35</f>
        <v>153450.19800937391</v>
      </c>
      <c r="V22" s="1041">
        <f>SUM(L22:T22)</f>
        <v>1381051.7820843649</v>
      </c>
      <c r="W22" s="1041">
        <f>U22+J22+K22</f>
        <v>460350.59402812173</v>
      </c>
    </row>
    <row r="23" spans="1:26" s="364" customFormat="1" x14ac:dyDescent="0.35">
      <c r="A23" s="1122" t="s">
        <v>364</v>
      </c>
      <c r="B23" s="1122" t="s">
        <v>358</v>
      </c>
      <c r="C23" s="1122" t="s">
        <v>827</v>
      </c>
      <c r="D23" s="1122" t="s">
        <v>830</v>
      </c>
      <c r="E23" s="1122"/>
      <c r="F23" s="1122" t="s">
        <v>836</v>
      </c>
      <c r="G23" s="1122"/>
      <c r="H23" s="1122"/>
      <c r="I23" s="1043">
        <f>SUM(J23:U23)</f>
        <v>9602080.3049579747</v>
      </c>
      <c r="J23" s="1036">
        <v>1811254.6372400001</v>
      </c>
      <c r="K23" s="1036">
        <v>1494229.89772</v>
      </c>
      <c r="L23" s="1036">
        <v>626781.24543999997</v>
      </c>
      <c r="M23" s="1036">
        <v>715414.63636</v>
      </c>
      <c r="N23" s="1036">
        <f>('Tariff Rand Values 2024-25 Actu'!N23*'MSCOA - Tariff Structure'!$S$2)+'Tariff Rand Values 2024-25 Actu'!N23</f>
        <v>573050.06648000004</v>
      </c>
      <c r="O23" s="1036">
        <f>('Tariff Rand Values 2024-25 Actu'!O23*'MSCOA - Tariff Structure'!$S$2)+'Tariff Rand Values 2024-25 Actu'!O23</f>
        <v>433300.48259999999</v>
      </c>
      <c r="P23" s="1036">
        <f>('Tariff Rand Values 2024-25 Actu'!P23*'MSCOA - Tariff Structure'!$S$2)+'Tariff Rand Values 2024-25 Actu'!P23</f>
        <v>548703.81059999997</v>
      </c>
      <c r="Q23" s="1036">
        <f>('Tariff Rand Values 2024-25 Actu'!Q23*'MSCOA - Tariff Structure'!$S$2)+'Tariff Rand Values 2024-25 Actu'!Q23</f>
        <v>560867.74983999995</v>
      </c>
      <c r="R23" s="1036">
        <f>('Tariff Rand Values 2024-25 Actu'!R23*'MSCOA - Tariff Structure'!$S$2)+'Tariff Rand Values 2024-25 Actu'!R23</f>
        <v>460525.07632160594</v>
      </c>
      <c r="S23" s="1036">
        <f>('Tariff Rand Values 2024-25 Actu'!S23*'MSCOA - Tariff Structure'!$S$2)+'Tariff Rand Values 2024-25 Actu'!S23</f>
        <v>472090.2669247411</v>
      </c>
      <c r="T23" s="1036">
        <f>('Tariff Rand Values 2024-25 Actu'!T23*'MSCOA - Tariff Structure'!$S$2)+'Tariff Rand Values 2024-25 Actu'!T23</f>
        <v>587313.75924838113</v>
      </c>
      <c r="U23" s="1036">
        <f>('Tariff Rand Values 2024-25 Actu'!U23*'MSCOA - Tariff Structure'!$S$2)+'Tariff Rand Values 2024-25 Actu'!U23</f>
        <v>1318548.6761832489</v>
      </c>
      <c r="V23" s="1036">
        <f>SUM(L23:T23)</f>
        <v>4978047.0938147288</v>
      </c>
      <c r="W23" s="1036">
        <f>U23+J23+K23</f>
        <v>4624033.2111432487</v>
      </c>
    </row>
    <row r="24" spans="1:26" s="364" customFormat="1" x14ac:dyDescent="0.35">
      <c r="A24" s="1122" t="s">
        <v>366</v>
      </c>
      <c r="B24" s="1122" t="s">
        <v>360</v>
      </c>
      <c r="C24" s="1122" t="s">
        <v>826</v>
      </c>
      <c r="D24" s="1122" t="s">
        <v>829</v>
      </c>
      <c r="E24" s="1122"/>
      <c r="F24" s="1122" t="s">
        <v>835</v>
      </c>
      <c r="G24" s="1122"/>
      <c r="H24" s="1122"/>
      <c r="I24" s="1043">
        <f>SUM(J24:U24)</f>
        <v>13429471.556539729</v>
      </c>
      <c r="J24" s="1036">
        <v>1964819.6647999999</v>
      </c>
      <c r="K24" s="1036">
        <v>1698987.6514000001</v>
      </c>
      <c r="L24" s="1036">
        <v>1020751.9452</v>
      </c>
      <c r="M24" s="1036">
        <v>1126438.0122</v>
      </c>
      <c r="N24" s="1036">
        <f>('Tariff Rand Values 2024-25 Actu'!N24*'MSCOA - Tariff Structure'!$S$2)+'Tariff Rand Values 2024-25 Actu'!N24</f>
        <v>990783.52</v>
      </c>
      <c r="O24" s="1036">
        <f>('Tariff Rand Values 2024-25 Actu'!O24*'MSCOA - Tariff Structure'!$S$2)+'Tariff Rand Values 2024-25 Actu'!O24</f>
        <v>790419.60596000007</v>
      </c>
      <c r="P24" s="1036">
        <f>('Tariff Rand Values 2024-25 Actu'!P24*'MSCOA - Tariff Structure'!$S$2)+'Tariff Rand Values 2024-25 Actu'!P24</f>
        <v>964055.55307999998</v>
      </c>
      <c r="Q24" s="1036">
        <f>('Tariff Rand Values 2024-25 Actu'!Q24*'MSCOA - Tariff Structure'!$S$2)+'Tariff Rand Values 2024-25 Actu'!Q24</f>
        <v>985506.93572000007</v>
      </c>
      <c r="R24" s="1036">
        <f>('Tariff Rand Values 2024-25 Actu'!R24*'MSCOA - Tariff Structure'!$S$2)+'Tariff Rand Values 2024-25 Actu'!R24</f>
        <v>717342.08409662638</v>
      </c>
      <c r="S24" s="1036">
        <f>('Tariff Rand Values 2024-25 Actu'!S24*'MSCOA - Tariff Structure'!$S$2)+'Tariff Rand Values 2024-25 Actu'!S24</f>
        <v>720324.76366849616</v>
      </c>
      <c r="T24" s="1036">
        <f>('Tariff Rand Values 2024-25 Actu'!T24*'MSCOA - Tariff Structure'!$S$2)+'Tariff Rand Values 2024-25 Actu'!T24</f>
        <v>852554.17963062017</v>
      </c>
      <c r="U24" s="1036">
        <f>('Tariff Rand Values 2024-25 Actu'!U24*'MSCOA - Tariff Structure'!$S$2)+'Tariff Rand Values 2024-25 Actu'!U24</f>
        <v>1597487.6407839863</v>
      </c>
      <c r="V24" s="1036">
        <f>SUM(L24:T24)</f>
        <v>8168176.5995557429</v>
      </c>
      <c r="W24" s="1036">
        <f>U24+J24+K24</f>
        <v>5261294.9569839863</v>
      </c>
      <c r="Z24" s="364">
        <f>3578510707.1-'MSCOA - Tariff Structure'!Q6</f>
        <v>272273904.16000032</v>
      </c>
    </row>
    <row r="25" spans="1:26" s="364" customFormat="1" x14ac:dyDescent="0.35">
      <c r="A25" s="1122" t="s">
        <v>362</v>
      </c>
      <c r="B25" s="1122" t="s">
        <v>356</v>
      </c>
      <c r="C25" s="1122" t="s">
        <v>828</v>
      </c>
      <c r="D25" s="1122" t="s">
        <v>831</v>
      </c>
      <c r="E25" s="1122"/>
      <c r="F25" s="1122" t="s">
        <v>837</v>
      </c>
      <c r="G25" s="1122"/>
      <c r="H25" s="1122"/>
      <c r="I25" s="1043">
        <f>SUM(J25:U25)</f>
        <v>12781977.159781212</v>
      </c>
      <c r="J25" s="1036">
        <v>1755154.7294399999</v>
      </c>
      <c r="K25" s="1036">
        <v>1703263.7632800001</v>
      </c>
      <c r="L25" s="1036">
        <v>991791.3658400001</v>
      </c>
      <c r="M25" s="1036">
        <v>948661.19287999999</v>
      </c>
      <c r="N25" s="1036">
        <f>('Tariff Rand Values 2024-25 Actu'!N25*'MSCOA - Tariff Structure'!$S$2)+'Tariff Rand Values 2024-25 Actu'!N25</f>
        <v>947838.40240000002</v>
      </c>
      <c r="O25" s="1036">
        <f>('Tariff Rand Values 2024-25 Actu'!O25*'MSCOA - Tariff Structure'!$S$2)+'Tariff Rand Values 2024-25 Actu'!O25</f>
        <v>979064.26887999999</v>
      </c>
      <c r="P25" s="1036">
        <f>('Tariff Rand Values 2024-25 Actu'!P25*'MSCOA - Tariff Structure'!$S$2)+'Tariff Rand Values 2024-25 Actu'!P25</f>
        <v>959620.57503999991</v>
      </c>
      <c r="Q25" s="1036">
        <f>('Tariff Rand Values 2024-25 Actu'!Q25*'MSCOA - Tariff Structure'!$S$2)+'Tariff Rand Values 2024-25 Actu'!Q25</f>
        <v>973813.96372</v>
      </c>
      <c r="R25" s="1036">
        <f>('Tariff Rand Values 2024-25 Actu'!R25*'MSCOA - Tariff Structure'!$S$2)+'Tariff Rand Values 2024-25 Actu'!R25</f>
        <v>699543.49242245802</v>
      </c>
      <c r="S25" s="1036">
        <f>('Tariff Rand Values 2024-25 Actu'!S25*'MSCOA - Tariff Structure'!$S$2)+'Tariff Rand Values 2024-25 Actu'!S25</f>
        <v>715831.05026998871</v>
      </c>
      <c r="T25" s="1036">
        <f>('Tariff Rand Values 2024-25 Actu'!T25*'MSCOA - Tariff Structure'!$S$2)+'Tariff Rand Values 2024-25 Actu'!T25</f>
        <v>763138.85469167726</v>
      </c>
      <c r="U25" s="1036">
        <f>('Tariff Rand Values 2024-25 Actu'!U25*'MSCOA - Tariff Structure'!$S$2)+'Tariff Rand Values 2024-25 Actu'!U25</f>
        <v>1344255.5009170878</v>
      </c>
      <c r="V25" s="1036">
        <f>SUM(L25:T25)</f>
        <v>7979303.1661441233</v>
      </c>
      <c r="W25" s="1036">
        <f>U25+J25+K25</f>
        <v>4802673.9936370878</v>
      </c>
      <c r="Z25" s="364">
        <f>Z24/2</f>
        <v>136136952.08000016</v>
      </c>
    </row>
    <row r="26" spans="1:26" s="364" customFormat="1" ht="15" thickBot="1" x14ac:dyDescent="0.4">
      <c r="A26" s="359" t="s">
        <v>545</v>
      </c>
      <c r="I26" s="1060">
        <f>+I27</f>
        <v>170827135.47281528</v>
      </c>
      <c r="J26" s="1125"/>
      <c r="K26" s="1125"/>
      <c r="L26" s="1125"/>
      <c r="M26" s="1125"/>
      <c r="N26" s="1125"/>
      <c r="O26" s="1125"/>
      <c r="P26" s="1125"/>
      <c r="Q26" s="1125"/>
      <c r="R26" s="1125"/>
      <c r="S26" s="1125"/>
      <c r="T26" s="1125"/>
      <c r="U26" s="1125"/>
      <c r="V26" s="611">
        <f>+V25+V24+V23+V22</f>
        <v>22506578.641598959</v>
      </c>
      <c r="W26" s="611">
        <f>+W25+W24+W23+W22</f>
        <v>15148352.755792445</v>
      </c>
      <c r="X26" s="364">
        <f>+V26+W26</f>
        <v>37654931.397391401</v>
      </c>
    </row>
    <row r="27" spans="1:26" s="364" customFormat="1" ht="15" thickTop="1" x14ac:dyDescent="0.35">
      <c r="A27" s="1038" t="s">
        <v>313</v>
      </c>
      <c r="B27" s="1038" t="s">
        <v>311</v>
      </c>
      <c r="C27" s="1038" t="s">
        <v>510</v>
      </c>
      <c r="D27" s="1038" t="s">
        <v>514</v>
      </c>
      <c r="E27" s="1122" t="s">
        <v>510</v>
      </c>
      <c r="F27" s="1122" t="s">
        <v>514</v>
      </c>
      <c r="G27" s="1122"/>
      <c r="H27" s="1122"/>
      <c r="I27" s="1043">
        <f>SUM(J27:U27)</f>
        <v>170827135.47281528</v>
      </c>
      <c r="J27" s="1036">
        <v>15926654.165198598</v>
      </c>
      <c r="K27" s="1036">
        <v>15583593.992829464</v>
      </c>
      <c r="L27" s="1036">
        <v>14399203.885320902</v>
      </c>
      <c r="M27" s="1036">
        <v>15326791.677346595</v>
      </c>
      <c r="N27" s="1036">
        <f>('Tariff Rand Values 2024-25 Actu'!N27*'MSCOA - Tariff Structure'!$S$2)+'Tariff Rand Values 2024-25 Actu'!N27</f>
        <v>14970827.292721428</v>
      </c>
      <c r="O27" s="1036">
        <f>('Tariff Rand Values 2024-25 Actu'!O27*'MSCOA - Tariff Structure'!$S$2)+'Tariff Rand Values 2024-25 Actu'!O27</f>
        <v>16224940.518401835</v>
      </c>
      <c r="P27" s="1036">
        <f>('Tariff Rand Values 2024-25 Actu'!P27*'MSCOA - Tariff Structure'!$S$2)+'Tariff Rand Values 2024-25 Actu'!P27</f>
        <v>13946544.564104525</v>
      </c>
      <c r="Q27" s="1036">
        <f>('Tariff Rand Values 2024-25 Actu'!Q27*'MSCOA - Tariff Structure'!$S$2)+'Tariff Rand Values 2024-25 Actu'!Q27</f>
        <v>14890098.096348129</v>
      </c>
      <c r="R27" s="1036">
        <f>('Tariff Rand Values 2024-25 Actu'!R27*'MSCOA - Tariff Structure'!$S$2)+'Tariff Rand Values 2024-25 Actu'!R27</f>
        <v>11323545.552357765</v>
      </c>
      <c r="S27" s="1036">
        <f>('Tariff Rand Values 2024-25 Actu'!S27*'MSCOA - Tariff Structure'!$S$2)+'Tariff Rand Values 2024-25 Actu'!S27</f>
        <v>11761609.723361386</v>
      </c>
      <c r="T27" s="1036">
        <f>('Tariff Rand Values 2024-25 Actu'!T27*'MSCOA - Tariff Structure'!$S$2)+'Tariff Rand Values 2024-25 Actu'!T27</f>
        <v>12773046.101608722</v>
      </c>
      <c r="U27" s="1036">
        <f>('Tariff Rand Values 2024-25 Actu'!U27*'MSCOA - Tariff Structure'!$S$2)+'Tariff Rand Values 2024-25 Actu'!U27</f>
        <v>13700279.903215941</v>
      </c>
      <c r="V27" s="1036">
        <f>SUM(L27:T27)</f>
        <v>125616607.41157128</v>
      </c>
      <c r="W27" s="1036">
        <f>U27+J27+K27</f>
        <v>45210528.061244003</v>
      </c>
    </row>
    <row r="28" spans="1:26" s="364" customFormat="1" ht="15" thickBot="1" x14ac:dyDescent="0.4">
      <c r="A28" s="359" t="s">
        <v>546</v>
      </c>
      <c r="I28" s="1060">
        <f>+I29</f>
        <v>39291742.49640888</v>
      </c>
      <c r="J28" s="1125"/>
      <c r="K28" s="1125"/>
      <c r="L28" s="1125"/>
      <c r="M28" s="1125"/>
      <c r="N28" s="1125"/>
      <c r="O28" s="1125"/>
      <c r="P28" s="1125"/>
      <c r="Q28" s="1125"/>
      <c r="R28" s="1125"/>
      <c r="S28" s="1125"/>
      <c r="T28" s="1125"/>
      <c r="U28" s="1125"/>
      <c r="V28" s="611">
        <f>+V27</f>
        <v>125616607.41157128</v>
      </c>
      <c r="W28" s="611">
        <f>+W27</f>
        <v>45210528.061244003</v>
      </c>
      <c r="X28" s="364">
        <f>+W28+V28</f>
        <v>170827135.47281528</v>
      </c>
    </row>
    <row r="29" spans="1:26" s="364" customFormat="1" ht="15" thickTop="1" x14ac:dyDescent="0.35">
      <c r="A29" s="1038" t="s">
        <v>313</v>
      </c>
      <c r="B29" s="1038" t="s">
        <v>311</v>
      </c>
      <c r="C29" s="1038" t="s">
        <v>510</v>
      </c>
      <c r="D29" s="1038" t="s">
        <v>514</v>
      </c>
      <c r="E29" s="1122" t="s">
        <v>510</v>
      </c>
      <c r="F29" s="1122" t="s">
        <v>514</v>
      </c>
      <c r="G29" s="1122"/>
      <c r="H29" s="1122"/>
      <c r="I29" s="1043">
        <f>SUM(J29:U29)</f>
        <v>39291742.49640888</v>
      </c>
      <c r="J29" s="1036">
        <v>3898564.46</v>
      </c>
      <c r="K29" s="1036">
        <v>2445036.15</v>
      </c>
      <c r="L29" s="1036">
        <v>3894172.2064800002</v>
      </c>
      <c r="M29" s="1036">
        <v>2765128.8899999997</v>
      </c>
      <c r="N29" s="1036">
        <f>('Tariff Rand Values 2024-25 Actu'!N29*'MSCOA - Tariff Structure'!$S$2)+'Tariff Rand Values 2024-25 Actu'!N29</f>
        <v>3490184.5536000002</v>
      </c>
      <c r="O29" s="1036">
        <f>('Tariff Rand Values 2024-25 Actu'!O29*'MSCOA - Tariff Structure'!$S$2)+'Tariff Rand Values 2024-25 Actu'!O29</f>
        <v>4034555.1306400006</v>
      </c>
      <c r="P29" s="1036">
        <f>('Tariff Rand Values 2024-25 Actu'!P29*'MSCOA - Tariff Structure'!$S$2)+'Tariff Rand Values 2024-25 Actu'!P29</f>
        <v>3822344.4589200001</v>
      </c>
      <c r="Q29" s="1036">
        <f>('Tariff Rand Values 2024-25 Actu'!Q29*'MSCOA - Tariff Structure'!$S$2)+'Tariff Rand Values 2024-25 Actu'!Q29</f>
        <v>3964717.4475600002</v>
      </c>
      <c r="R29" s="1036">
        <f>('Tariff Rand Values 2024-25 Actu'!R29*'MSCOA - Tariff Structure'!$S$2)+'Tariff Rand Values 2024-25 Actu'!R29</f>
        <v>1649288.7185256355</v>
      </c>
      <c r="S29" s="1036">
        <f>('Tariff Rand Values 2024-25 Actu'!S29*'MSCOA - Tariff Structure'!$S$2)+'Tariff Rand Values 2024-25 Actu'!S29</f>
        <v>1038859.8782648412</v>
      </c>
      <c r="T29" s="1036">
        <f>('Tariff Rand Values 2024-25 Actu'!T29*'MSCOA - Tariff Structure'!$S$2)+'Tariff Rand Values 2024-25 Actu'!T29</f>
        <v>680410.12762942817</v>
      </c>
      <c r="U29" s="1036">
        <f>('Tariff Rand Values 2024-25 Actu'!U29*'MSCOA - Tariff Structure'!$S$2)+'Tariff Rand Values 2024-25 Actu'!U29</f>
        <v>7608480.4747889638</v>
      </c>
      <c r="V29" s="1036">
        <f>SUM(L29:T29)</f>
        <v>25339661.411619905</v>
      </c>
      <c r="W29" s="1036">
        <f>U29+J29+K29</f>
        <v>13952081.084788965</v>
      </c>
    </row>
    <row r="30" spans="1:26" s="364" customFormat="1" ht="15" thickBot="1" x14ac:dyDescent="0.4">
      <c r="A30" s="359" t="s">
        <v>539</v>
      </c>
      <c r="I30" s="1060">
        <f>SUM(I31:I34)</f>
        <v>1790366.5001929335</v>
      </c>
      <c r="J30" s="1125"/>
      <c r="K30" s="1125"/>
      <c r="L30" s="1125"/>
      <c r="M30" s="1125"/>
      <c r="N30" s="1125"/>
      <c r="O30" s="1125"/>
      <c r="P30" s="1125"/>
      <c r="Q30" s="1125"/>
      <c r="R30" s="1125"/>
      <c r="S30" s="1125"/>
      <c r="T30" s="1125"/>
      <c r="U30" s="1125"/>
      <c r="V30" s="611">
        <f>+V29</f>
        <v>25339661.411619905</v>
      </c>
      <c r="W30" s="611">
        <f>+W29</f>
        <v>13952081.084788965</v>
      </c>
      <c r="X30" s="364">
        <f>+W30+V30</f>
        <v>39291742.496408872</v>
      </c>
    </row>
    <row r="31" spans="1:26" s="364" customFormat="1" ht="15" thickTop="1" x14ac:dyDescent="0.35">
      <c r="A31" s="1040" t="s">
        <v>401</v>
      </c>
      <c r="B31" s="1040" t="s">
        <v>401</v>
      </c>
      <c r="C31" s="1040" t="s">
        <v>875</v>
      </c>
      <c r="D31" s="1040" t="s">
        <v>875</v>
      </c>
      <c r="E31" s="1040" t="s">
        <v>876</v>
      </c>
      <c r="F31" s="1040" t="s">
        <v>876</v>
      </c>
      <c r="G31" s="1040"/>
      <c r="H31" s="1040"/>
      <c r="I31" s="1041">
        <f>SUM(J31:U31)</f>
        <v>242679.24154477578</v>
      </c>
      <c r="J31" s="1041">
        <f>'Tariff SUMMARY 25-26'!$B$16*'Annexure A'!$R$56</f>
        <v>20223.27012873131</v>
      </c>
      <c r="K31" s="1041">
        <f>'Tariff SUMMARY 25-26'!$B$16*'Annexure A'!$R$56</f>
        <v>20223.27012873131</v>
      </c>
      <c r="L31" s="1041">
        <f>'Tariff SUMMARY 25-26'!$B$16*'Annexure A'!$R$56</f>
        <v>20223.27012873131</v>
      </c>
      <c r="M31" s="1041">
        <f>'Tariff SUMMARY 25-26'!$B$16*'Annexure A'!$R$56</f>
        <v>20223.27012873131</v>
      </c>
      <c r="N31" s="1041">
        <f>'Tariff SUMMARY 25-26'!$B$16*'Annexure A'!$R$56</f>
        <v>20223.27012873131</v>
      </c>
      <c r="O31" s="1041">
        <f>'Tariff SUMMARY 25-26'!$B$16*'Annexure A'!$R$56</f>
        <v>20223.27012873131</v>
      </c>
      <c r="P31" s="1041">
        <f>'Tariff SUMMARY 25-26'!$B$16*'Annexure A'!$R$56</f>
        <v>20223.27012873131</v>
      </c>
      <c r="Q31" s="1041">
        <f>'Tariff SUMMARY 25-26'!$B$16*'Annexure A'!$R$56</f>
        <v>20223.27012873131</v>
      </c>
      <c r="R31" s="1041">
        <f>'Tariff SUMMARY 25-26'!$B$16*'Annexure A'!$R$56</f>
        <v>20223.27012873131</v>
      </c>
      <c r="S31" s="1041">
        <f>'Tariff SUMMARY 25-26'!$B$16*'Annexure A'!$R$56</f>
        <v>20223.27012873131</v>
      </c>
      <c r="T31" s="1041">
        <f>'Tariff SUMMARY 25-26'!$B$16*'Annexure A'!$R$56</f>
        <v>20223.27012873131</v>
      </c>
      <c r="U31" s="1041">
        <f>'Tariff SUMMARY 25-26'!$B$16*'Annexure A'!$R$56</f>
        <v>20223.27012873131</v>
      </c>
      <c r="V31" s="1041">
        <f>SUM(L31:T31)</f>
        <v>182009.43115858181</v>
      </c>
      <c r="W31" s="1041">
        <f>U31+J31+K31</f>
        <v>60669.810386193931</v>
      </c>
    </row>
    <row r="32" spans="1:26" s="364" customFormat="1" x14ac:dyDescent="0.35">
      <c r="A32" s="1038" t="s">
        <v>403</v>
      </c>
      <c r="B32" s="1038" t="s">
        <v>411</v>
      </c>
      <c r="C32" s="1038" t="s">
        <v>871</v>
      </c>
      <c r="D32" s="1038" t="s">
        <v>874</v>
      </c>
      <c r="E32" s="1122" t="s">
        <v>864</v>
      </c>
      <c r="F32" s="1122" t="s">
        <v>867</v>
      </c>
      <c r="G32" s="1122"/>
      <c r="H32" s="1122"/>
      <c r="I32" s="1043">
        <f>SUM(J32:U32)</f>
        <v>435156.81166351429</v>
      </c>
      <c r="J32" s="1036">
        <v>95674.54280000001</v>
      </c>
      <c r="K32" s="1036">
        <v>80616.629520000017</v>
      </c>
      <c r="L32" s="1036">
        <v>43801.605599999995</v>
      </c>
      <c r="M32" s="1036">
        <v>43909.599520000003</v>
      </c>
      <c r="N32" s="1036">
        <f>('Tariff Rand Values 2024-25 Actu'!N32*'MSCOA - Tariff Structure'!$S$2)+'Tariff Rand Values 2024-25 Actu'!N32</f>
        <v>36603.487119999998</v>
      </c>
      <c r="O32" s="1036">
        <f>('Tariff Rand Values 2024-25 Actu'!O32*'MSCOA - Tariff Structure'!$S$2)+'Tariff Rand Values 2024-25 Actu'!O32</f>
        <v>33110.747040000002</v>
      </c>
      <c r="P32" s="1036">
        <f>('Tariff Rand Values 2024-25 Actu'!P32*'MSCOA - Tariff Structure'!$S$2)+'Tariff Rand Values 2024-25 Actu'!P32</f>
        <v>39808.033600000002</v>
      </c>
      <c r="Q32" s="1036">
        <f>('Tariff Rand Values 2024-25 Actu'!Q32*'MSCOA - Tariff Structure'!$S$2)+'Tariff Rand Values 2024-25 Actu'!Q32</f>
        <v>39410.879439999997</v>
      </c>
      <c r="R32" s="1036">
        <f>('Tariff Rand Values 2024-25 Actu'!R32*'MSCOA - Tariff Structure'!$S$2)+'Tariff Rand Values 2024-25 Actu'!R32</f>
        <v>4405.431691753719</v>
      </c>
      <c r="S32" s="1036">
        <f>('Tariff Rand Values 2024-25 Actu'!S32*'MSCOA - Tariff Structure'!$S$2)+'Tariff Rand Values 2024-25 Actu'!S32</f>
        <v>4607.4104293145847</v>
      </c>
      <c r="T32" s="1036">
        <f>('Tariff Rand Values 2024-25 Actu'!T32*'MSCOA - Tariff Structure'!$S$2)+'Tariff Rand Values 2024-25 Actu'!T32</f>
        <v>5492.4445338994738</v>
      </c>
      <c r="U32" s="1036">
        <f>('Tariff Rand Values 2024-25 Actu'!U32*'MSCOA - Tariff Structure'!$S$2)+'Tariff Rand Values 2024-25 Actu'!U32</f>
        <v>7716.0003685464781</v>
      </c>
      <c r="V32" s="1036">
        <f>SUM(L32:T32)</f>
        <v>251149.63897496776</v>
      </c>
      <c r="W32" s="1036">
        <f>U32+J32+K32</f>
        <v>184007.1726885465</v>
      </c>
    </row>
    <row r="33" spans="1:24" s="364" customFormat="1" x14ac:dyDescent="0.35">
      <c r="A33" s="1038" t="s">
        <v>405</v>
      </c>
      <c r="B33" s="1038" t="s">
        <v>413</v>
      </c>
      <c r="C33" s="1038" t="s">
        <v>870</v>
      </c>
      <c r="D33" s="1038" t="s">
        <v>873</v>
      </c>
      <c r="E33" s="1122" t="s">
        <v>863</v>
      </c>
      <c r="F33" s="1122" t="s">
        <v>866</v>
      </c>
      <c r="G33" s="1122"/>
      <c r="H33" s="1122"/>
      <c r="I33" s="1043">
        <f>SUM(J33:U33)</f>
        <v>587858.64315757889</v>
      </c>
      <c r="J33" s="1036">
        <v>126591.02828</v>
      </c>
      <c r="K33" s="1036">
        <v>107706.16476</v>
      </c>
      <c r="L33" s="1036">
        <v>55204.91156</v>
      </c>
      <c r="M33" s="1036">
        <v>55576.61836</v>
      </c>
      <c r="N33" s="1036">
        <f>('Tariff Rand Values 2024-25 Actu'!N33*'MSCOA - Tariff Structure'!$S$2)+'Tariff Rand Values 2024-25 Actu'!N33</f>
        <v>50625.836719999999</v>
      </c>
      <c r="O33" s="1036">
        <f>('Tariff Rand Values 2024-25 Actu'!O33*'MSCOA - Tariff Structure'!$S$2)+'Tariff Rand Values 2024-25 Actu'!O33</f>
        <v>48339.339719999996</v>
      </c>
      <c r="P33" s="1036">
        <f>('Tariff Rand Values 2024-25 Actu'!P33*'MSCOA - Tariff Structure'!$S$2)+'Tariff Rand Values 2024-25 Actu'!P33</f>
        <v>56987.362000000001</v>
      </c>
      <c r="Q33" s="1036">
        <f>('Tariff Rand Values 2024-25 Actu'!Q33*'MSCOA - Tariff Structure'!$S$2)+'Tariff Rand Values 2024-25 Actu'!Q33</f>
        <v>56272.666600000004</v>
      </c>
      <c r="R33" s="1036">
        <f>('Tariff Rand Values 2024-25 Actu'!R33*'MSCOA - Tariff Structure'!$S$2)+'Tariff Rand Values 2024-25 Actu'!R33</f>
        <v>6496.1943324033418</v>
      </c>
      <c r="S33" s="1036">
        <f>('Tariff Rand Values 2024-25 Actu'!S33*'MSCOA - Tariff Structure'!$S$2)+'Tariff Rand Values 2024-25 Actu'!S33</f>
        <v>6223.3741516387399</v>
      </c>
      <c r="T33" s="1036">
        <f>('Tariff Rand Values 2024-25 Actu'!T33*'MSCOA - Tariff Structure'!$S$2)+'Tariff Rand Values 2024-25 Actu'!T33</f>
        <v>6663.2166402517196</v>
      </c>
      <c r="U33" s="1036">
        <f>('Tariff Rand Values 2024-25 Actu'!U33*'MSCOA - Tariff Structure'!$S$2)+'Tariff Rand Values 2024-25 Actu'!U33</f>
        <v>11171.930033285009</v>
      </c>
      <c r="V33" s="1036">
        <f>SUM(L33:T33)</f>
        <v>342389.52008429385</v>
      </c>
      <c r="W33" s="1036">
        <f>U33+J33+K33</f>
        <v>245469.12307328498</v>
      </c>
    </row>
    <row r="34" spans="1:24" s="364" customFormat="1" x14ac:dyDescent="0.35">
      <c r="A34" s="1038" t="s">
        <v>407</v>
      </c>
      <c r="B34" s="1038" t="s">
        <v>409</v>
      </c>
      <c r="C34" s="1038" t="s">
        <v>872</v>
      </c>
      <c r="D34" s="1038" t="s">
        <v>869</v>
      </c>
      <c r="E34" s="1122" t="s">
        <v>865</v>
      </c>
      <c r="F34" s="1122" t="s">
        <v>868</v>
      </c>
      <c r="G34" s="1122"/>
      <c r="H34" s="1122"/>
      <c r="I34" s="1043">
        <f>SUM(J34:U34)</f>
        <v>524671.80382706434</v>
      </c>
      <c r="J34" s="1036">
        <v>82589.339439999996</v>
      </c>
      <c r="K34" s="1036">
        <v>79664.331760000001</v>
      </c>
      <c r="L34" s="1036">
        <v>58317.73964</v>
      </c>
      <c r="M34" s="1036">
        <v>51885.885679999999</v>
      </c>
      <c r="N34" s="1036">
        <f>('Tariff Rand Values 2024-25 Actu'!N34*'MSCOA - Tariff Structure'!$S$2)+'Tariff Rand Values 2024-25 Actu'!N34</f>
        <v>51568.749079999994</v>
      </c>
      <c r="O34" s="1036">
        <f>('Tariff Rand Values 2024-25 Actu'!O34*'MSCOA - Tariff Structure'!$S$2)+'Tariff Rand Values 2024-25 Actu'!O34</f>
        <v>60188.682599999993</v>
      </c>
      <c r="P34" s="1036">
        <f>('Tariff Rand Values 2024-25 Actu'!P34*'MSCOA - Tariff Structure'!$S$2)+'Tariff Rand Values 2024-25 Actu'!P34</f>
        <v>56818.874400000001</v>
      </c>
      <c r="Q34" s="1036">
        <f>('Tariff Rand Values 2024-25 Actu'!Q34*'MSCOA - Tariff Structure'!$S$2)+'Tariff Rand Values 2024-25 Actu'!Q34</f>
        <v>55299.822119999997</v>
      </c>
      <c r="R34" s="1036">
        <f>('Tariff Rand Values 2024-25 Actu'!R34*'MSCOA - Tariff Structure'!$S$2)+'Tariff Rand Values 2024-25 Actu'!R34</f>
        <v>5943.046364333376</v>
      </c>
      <c r="S34" s="1036">
        <f>('Tariff Rand Values 2024-25 Actu'!S34*'MSCOA - Tariff Structure'!$S$2)+'Tariff Rand Values 2024-25 Actu'!S34</f>
        <v>6204.5404043640447</v>
      </c>
      <c r="T34" s="1036">
        <f>('Tariff Rand Values 2024-25 Actu'!T34*'MSCOA - Tariff Structure'!$S$2)+'Tariff Rand Values 2024-25 Actu'!T34</f>
        <v>6656.2119280533816</v>
      </c>
      <c r="U34" s="1036">
        <f>('Tariff Rand Values 2024-25 Actu'!U34*'MSCOA - Tariff Structure'!$S$2)+'Tariff Rand Values 2024-25 Actu'!U34</f>
        <v>9534.580410313456</v>
      </c>
      <c r="V34" s="1036">
        <f>SUM(L34:T34)</f>
        <v>352883.55221675086</v>
      </c>
      <c r="W34" s="1036">
        <f>U34+J34+K34</f>
        <v>171788.25161031345</v>
      </c>
    </row>
    <row r="35" spans="1:24" s="364" customFormat="1" ht="15" thickBot="1" x14ac:dyDescent="0.4">
      <c r="A35" s="359" t="s">
        <v>538</v>
      </c>
      <c r="B35" s="248"/>
      <c r="C35" s="248"/>
      <c r="D35" s="248"/>
      <c r="E35" s="248"/>
      <c r="F35" s="248"/>
      <c r="G35" s="248"/>
      <c r="H35" s="248"/>
      <c r="I35" s="1060">
        <f>SUM(I36:I39)</f>
        <v>108233177.38641065</v>
      </c>
      <c r="J35" s="1126"/>
      <c r="K35" s="1126"/>
      <c r="L35" s="1126"/>
      <c r="M35" s="1126"/>
      <c r="N35" s="1126"/>
      <c r="O35" s="1126"/>
      <c r="P35" s="1126"/>
      <c r="Q35" s="1126"/>
      <c r="R35" s="1126"/>
      <c r="S35" s="1126"/>
      <c r="T35" s="1126"/>
      <c r="U35" s="1126"/>
      <c r="V35" s="611">
        <f>+V34+V33+V32+V31</f>
        <v>1128432.1424345942</v>
      </c>
      <c r="W35" s="611">
        <f>+W34+W33+W32+W31</f>
        <v>661934.3577583388</v>
      </c>
      <c r="X35" s="364">
        <f>+W35+V35</f>
        <v>1790366.500192933</v>
      </c>
    </row>
    <row r="36" spans="1:24" s="364" customFormat="1" ht="15" thickTop="1" x14ac:dyDescent="0.35">
      <c r="A36" s="1040" t="s">
        <v>392</v>
      </c>
      <c r="B36" s="1040" t="s">
        <v>392</v>
      </c>
      <c r="C36" s="1040" t="s">
        <v>876</v>
      </c>
      <c r="D36" s="1040" t="s">
        <v>876</v>
      </c>
      <c r="E36" s="1040" t="s">
        <v>875</v>
      </c>
      <c r="F36" s="1040" t="s">
        <v>875</v>
      </c>
      <c r="G36" s="1040"/>
      <c r="H36" s="1040"/>
      <c r="I36" s="1041">
        <f>SUM(J36:U36)</f>
        <v>9689387.9302142616</v>
      </c>
      <c r="J36" s="1041">
        <f>'Tariff SUMMARY 25-26'!$B$17*'Annexure A'!$S$64</f>
        <v>807448.99418452184</v>
      </c>
      <c r="K36" s="1041">
        <f>'Tariff SUMMARY 25-26'!$B$17*'Annexure A'!$S$64</f>
        <v>807448.99418452184</v>
      </c>
      <c r="L36" s="1041">
        <f>'Tariff SUMMARY 25-26'!$B$17*'Annexure A'!$S$64</f>
        <v>807448.99418452184</v>
      </c>
      <c r="M36" s="1041">
        <f>'Tariff SUMMARY 25-26'!$B$17*'Annexure A'!$S$64</f>
        <v>807448.99418452184</v>
      </c>
      <c r="N36" s="1041">
        <f>'Tariff SUMMARY 25-26'!$B$17*'Annexure A'!$S$64</f>
        <v>807448.99418452184</v>
      </c>
      <c r="O36" s="1041">
        <f>'Tariff SUMMARY 25-26'!$B$17*'Annexure A'!$S$64</f>
        <v>807448.99418452184</v>
      </c>
      <c r="P36" s="1041">
        <f>'Tariff SUMMARY 25-26'!$B$17*'Annexure A'!$S$64</f>
        <v>807448.99418452184</v>
      </c>
      <c r="Q36" s="1041">
        <f>'Tariff SUMMARY 25-26'!$B$17*'Annexure A'!$S$64</f>
        <v>807448.99418452184</v>
      </c>
      <c r="R36" s="1041">
        <f>'Tariff SUMMARY 25-26'!$B$17*'Annexure A'!$S$64</f>
        <v>807448.99418452184</v>
      </c>
      <c r="S36" s="1041">
        <f>'Tariff SUMMARY 25-26'!$B$17*'Annexure A'!$S$64</f>
        <v>807448.99418452184</v>
      </c>
      <c r="T36" s="1041">
        <f>'Tariff SUMMARY 25-26'!$B$17*'Annexure A'!$S$64</f>
        <v>807448.99418452184</v>
      </c>
      <c r="U36" s="1041">
        <f>'Tariff SUMMARY 25-26'!$B$17*'Annexure A'!$S$64</f>
        <v>807448.99418452184</v>
      </c>
      <c r="V36" s="1041">
        <f>SUM(L36:T36)</f>
        <v>7267040.9476606967</v>
      </c>
      <c r="W36" s="1041">
        <f>U36+J36+K36</f>
        <v>2422346.9825535654</v>
      </c>
    </row>
    <row r="37" spans="1:24" s="364" customFormat="1" x14ac:dyDescent="0.35">
      <c r="A37" s="1038" t="s">
        <v>396</v>
      </c>
      <c r="B37" s="1038" t="s">
        <v>388</v>
      </c>
      <c r="C37" s="1038" t="s">
        <v>864</v>
      </c>
      <c r="D37" s="1038" t="s">
        <v>867</v>
      </c>
      <c r="E37" s="1122" t="s">
        <v>871</v>
      </c>
      <c r="F37" s="1122" t="s">
        <v>874</v>
      </c>
      <c r="G37" s="1122"/>
      <c r="H37" s="1122"/>
      <c r="I37" s="1043">
        <f>SUM(J37:U37)</f>
        <v>26892740.120009106</v>
      </c>
      <c r="J37" s="1036">
        <v>4009952.4566400005</v>
      </c>
      <c r="K37" s="1036">
        <v>3425430.70004</v>
      </c>
      <c r="L37" s="1036">
        <v>2089307.2844400001</v>
      </c>
      <c r="M37" s="1036">
        <v>2402659.96092</v>
      </c>
      <c r="N37" s="1036">
        <f>('Tariff Rand Values 2024-25 Actu'!N37*'MSCOA - Tariff Structure'!$S$2)+'Tariff Rand Values 2024-25 Actu'!N37</f>
        <v>2202747.73752</v>
      </c>
      <c r="O37" s="1036">
        <f>('Tariff Rand Values 2024-25 Actu'!O37*'MSCOA - Tariff Structure'!$S$2)+'Tariff Rand Values 2024-25 Actu'!O37</f>
        <v>2019638.45988</v>
      </c>
      <c r="P37" s="1036">
        <f>('Tariff Rand Values 2024-25 Actu'!P37*'MSCOA - Tariff Structure'!$S$2)+'Tariff Rand Values 2024-25 Actu'!P37</f>
        <v>2381970.4704399994</v>
      </c>
      <c r="Q37" s="1036">
        <f>('Tariff Rand Values 2024-25 Actu'!Q37*'MSCOA - Tariff Structure'!$S$2)+'Tariff Rand Values 2024-25 Actu'!Q37</f>
        <v>2388586.0422</v>
      </c>
      <c r="R37" s="1036">
        <f>('Tariff Rand Values 2024-25 Actu'!R37*'MSCOA - Tariff Structure'!$S$2)+'Tariff Rand Values 2024-25 Actu'!R37</f>
        <v>1319234.4681383898</v>
      </c>
      <c r="S37" s="1036">
        <f>('Tariff Rand Values 2024-25 Actu'!S37*'MSCOA - Tariff Structure'!$S$2)+'Tariff Rand Values 2024-25 Actu'!S37</f>
        <v>1284693.7169940379</v>
      </c>
      <c r="T37" s="1036">
        <f>('Tariff Rand Values 2024-25 Actu'!T37*'MSCOA - Tariff Structure'!$S$2)+'Tariff Rand Values 2024-25 Actu'!T37</f>
        <v>1341284.6093292655</v>
      </c>
      <c r="U37" s="1036">
        <f>('Tariff Rand Values 2024-25 Actu'!U37*'MSCOA - Tariff Structure'!$S$2)+'Tariff Rand Values 2024-25 Actu'!U37</f>
        <v>2027234.213467411</v>
      </c>
      <c r="V37" s="1036">
        <f>SUM(L37:T37)</f>
        <v>17430122.749861691</v>
      </c>
      <c r="W37" s="1036">
        <f>U37+J37+K37</f>
        <v>9462617.3701474108</v>
      </c>
    </row>
    <row r="38" spans="1:24" s="364" customFormat="1" x14ac:dyDescent="0.35">
      <c r="A38" s="1038" t="s">
        <v>398</v>
      </c>
      <c r="B38" s="1038" t="s">
        <v>390</v>
      </c>
      <c r="C38" s="1038" t="s">
        <v>863</v>
      </c>
      <c r="D38" s="1038" t="s">
        <v>866</v>
      </c>
      <c r="E38" s="1122" t="s">
        <v>870</v>
      </c>
      <c r="F38" s="1122" t="s">
        <v>873</v>
      </c>
      <c r="G38" s="1122"/>
      <c r="H38" s="1122"/>
      <c r="I38" s="1043">
        <f>SUM(J38:U38)</f>
        <v>39671932.316168636</v>
      </c>
      <c r="J38" s="1036">
        <v>6095202.797960001</v>
      </c>
      <c r="K38" s="1036">
        <v>5445229.4198400006</v>
      </c>
      <c r="L38" s="1036">
        <v>3036701.0998800001</v>
      </c>
      <c r="M38" s="1036">
        <v>3285257.4243599996</v>
      </c>
      <c r="N38" s="1036">
        <f>('Tariff Rand Values 2024-25 Actu'!N38*'MSCOA - Tariff Structure'!$S$2)+'Tariff Rand Values 2024-25 Actu'!N38</f>
        <v>3183005.9416799997</v>
      </c>
      <c r="O38" s="1036">
        <f>('Tariff Rand Values 2024-25 Actu'!O38*'MSCOA - Tariff Structure'!$S$2)+'Tariff Rand Values 2024-25 Actu'!O38</f>
        <v>2953102.1611600006</v>
      </c>
      <c r="P38" s="1036">
        <f>('Tariff Rand Values 2024-25 Actu'!P38*'MSCOA - Tariff Structure'!$S$2)+'Tariff Rand Values 2024-25 Actu'!P38</f>
        <v>3468304.0839600004</v>
      </c>
      <c r="Q38" s="1036">
        <f>('Tariff Rand Values 2024-25 Actu'!Q38*'MSCOA - Tariff Structure'!$S$2)+'Tariff Rand Values 2024-25 Actu'!Q38</f>
        <v>3480233.2870400003</v>
      </c>
      <c r="R38" s="1036">
        <f>('Tariff Rand Values 2024-25 Actu'!R38*'MSCOA - Tariff Structure'!$S$2)+'Tariff Rand Values 2024-25 Actu'!R38</f>
        <v>1736580.4948976659</v>
      </c>
      <c r="S38" s="1036">
        <f>('Tariff Rand Values 2024-25 Actu'!S38*'MSCOA - Tariff Structure'!$S$2)+'Tariff Rand Values 2024-25 Actu'!S38</f>
        <v>1783823.1133094367</v>
      </c>
      <c r="T38" s="1036">
        <f>('Tariff Rand Values 2024-25 Actu'!T38*'MSCOA - Tariff Structure'!$S$2)+'Tariff Rand Values 2024-25 Actu'!T38</f>
        <v>1968976.9735206729</v>
      </c>
      <c r="U38" s="1036">
        <f>('Tariff Rand Values 2024-25 Actu'!U38*'MSCOA - Tariff Structure'!$S$2)+'Tariff Rand Values 2024-25 Actu'!U38</f>
        <v>3235515.5185608538</v>
      </c>
      <c r="V38" s="1036">
        <f>SUM(L38:T38)</f>
        <v>24895984.579807777</v>
      </c>
      <c r="W38" s="1036">
        <f>U38+J38+K38</f>
        <v>14775947.736360855</v>
      </c>
    </row>
    <row r="39" spans="1:24" s="364" customFormat="1" x14ac:dyDescent="0.35">
      <c r="A39" s="1038" t="s">
        <v>394</v>
      </c>
      <c r="B39" s="1038" t="s">
        <v>386</v>
      </c>
      <c r="C39" s="1038" t="s">
        <v>865</v>
      </c>
      <c r="D39" s="1038" t="s">
        <v>868</v>
      </c>
      <c r="E39" s="1122" t="s">
        <v>872</v>
      </c>
      <c r="F39" s="1122" t="s">
        <v>869</v>
      </c>
      <c r="G39" s="1122"/>
      <c r="H39" s="1122"/>
      <c r="I39" s="1043">
        <f>SUM(J39:U39)</f>
        <v>31979117.020018648</v>
      </c>
      <c r="J39" s="1036">
        <v>3697766.7169599999</v>
      </c>
      <c r="K39" s="1036">
        <v>3754885.4970399998</v>
      </c>
      <c r="L39" s="1036">
        <v>2942296.0588799994</v>
      </c>
      <c r="M39" s="1036">
        <v>2780348.3292400003</v>
      </c>
      <c r="N39" s="1036">
        <f>('Tariff Rand Values 2024-25 Actu'!N39*'MSCOA - Tariff Structure'!$S$2)+'Tariff Rand Values 2024-25 Actu'!N39</f>
        <v>2827003.8607599996</v>
      </c>
      <c r="O39" s="1036">
        <f>('Tariff Rand Values 2024-25 Actu'!O39*'MSCOA - Tariff Structure'!$S$2)+'Tariff Rand Values 2024-25 Actu'!O39</f>
        <v>3337353.0821599998</v>
      </c>
      <c r="P39" s="1036">
        <f>('Tariff Rand Values 2024-25 Actu'!P39*'MSCOA - Tariff Structure'!$S$2)+'Tariff Rand Values 2024-25 Actu'!P39</f>
        <v>3023465.83128</v>
      </c>
      <c r="Q39" s="1036">
        <f>('Tariff Rand Values 2024-25 Actu'!Q39*'MSCOA - Tariff Structure'!$S$2)+'Tariff Rand Values 2024-25 Actu'!Q39</f>
        <v>3018502.0224799998</v>
      </c>
      <c r="R39" s="1036">
        <f>('Tariff Rand Values 2024-25 Actu'!R39*'MSCOA - Tariff Structure'!$S$2)+'Tariff Rand Values 2024-25 Actu'!R39</f>
        <v>1415497.7938683832</v>
      </c>
      <c r="S39" s="1036">
        <f>('Tariff Rand Values 2024-25 Actu'!S39*'MSCOA - Tariff Structure'!$S$2)+'Tariff Rand Values 2024-25 Actu'!S39</f>
        <v>1553934.3868654773</v>
      </c>
      <c r="T39" s="1036">
        <f>('Tariff Rand Values 2024-25 Actu'!T39*'MSCOA - Tariff Structure'!$S$2)+'Tariff Rand Values 2024-25 Actu'!T39</f>
        <v>1520540.5519774007</v>
      </c>
      <c r="U39" s="1036">
        <f>('Tariff Rand Values 2024-25 Actu'!U39*'MSCOA - Tariff Structure'!$S$2)+'Tariff Rand Values 2024-25 Actu'!U39</f>
        <v>2107522.8885073913</v>
      </c>
      <c r="V39" s="1036">
        <f>SUM(L39:T39)</f>
        <v>22418941.917511258</v>
      </c>
      <c r="W39" s="1036">
        <f>U39+J39+K39</f>
        <v>9560175.1025073901</v>
      </c>
    </row>
    <row r="40" spans="1:24" s="364" customFormat="1" ht="15" thickBot="1" x14ac:dyDescent="0.4">
      <c r="A40" s="359" t="s">
        <v>254</v>
      </c>
      <c r="I40" s="1060">
        <f>SUM(I41:I46)</f>
        <v>182110141.00872922</v>
      </c>
      <c r="J40" s="1125"/>
      <c r="K40" s="1125"/>
      <c r="L40" s="1125"/>
      <c r="M40" s="1125"/>
      <c r="N40" s="1125"/>
      <c r="O40" s="1125"/>
      <c r="P40" s="1125"/>
      <c r="Q40" s="1125"/>
      <c r="R40" s="1125"/>
      <c r="S40" s="1125"/>
      <c r="T40" s="1125"/>
      <c r="U40" s="1125"/>
      <c r="V40" s="611">
        <f>+V39+V38+V37+V36</f>
        <v>72012090.19484143</v>
      </c>
      <c r="W40" s="611">
        <f>+W39+W38+W37+W36</f>
        <v>36221087.191569217</v>
      </c>
      <c r="X40" s="364">
        <f>+W40+V40</f>
        <v>108233177.38641065</v>
      </c>
    </row>
    <row r="41" spans="1:24" s="364" customFormat="1" ht="15" thickTop="1" x14ac:dyDescent="0.35">
      <c r="A41" s="1040" t="s">
        <v>256</v>
      </c>
      <c r="B41" s="1040" t="s">
        <v>256</v>
      </c>
      <c r="C41" s="1040" t="s">
        <v>862</v>
      </c>
      <c r="D41" s="1040" t="s">
        <v>1382</v>
      </c>
      <c r="E41" s="1040" t="s">
        <v>862</v>
      </c>
      <c r="F41" s="1040" t="s">
        <v>862</v>
      </c>
      <c r="G41" s="1040"/>
      <c r="H41" s="1040"/>
      <c r="I41" s="1041">
        <f t="shared" ref="I41:I46" si="0">SUM(J41:U41)</f>
        <v>216772.24241558588</v>
      </c>
      <c r="J41" s="1041">
        <f>'Tariff SUMMARY 25-26'!$B$18*'Annexure A'!$R$72</f>
        <v>18064.353534632155</v>
      </c>
      <c r="K41" s="1041">
        <f>'Tariff SUMMARY 25-26'!$B$18*'Annexure A'!$R$72</f>
        <v>18064.353534632155</v>
      </c>
      <c r="L41" s="1041">
        <f>'Tariff SUMMARY 25-26'!$B$18*'Annexure A'!$R$72</f>
        <v>18064.353534632155</v>
      </c>
      <c r="M41" s="1041">
        <f>'Tariff SUMMARY 25-26'!$B$18*'Annexure A'!$R$72</f>
        <v>18064.353534632155</v>
      </c>
      <c r="N41" s="1041">
        <f>'Tariff SUMMARY 25-26'!$B$18*'Annexure A'!$R$72</f>
        <v>18064.353534632155</v>
      </c>
      <c r="O41" s="1041">
        <f>'Tariff SUMMARY 25-26'!$B$18*'Annexure A'!$R$72</f>
        <v>18064.353534632155</v>
      </c>
      <c r="P41" s="1041">
        <f>'Tariff SUMMARY 25-26'!$B$18*'Annexure A'!$R$72</f>
        <v>18064.353534632155</v>
      </c>
      <c r="Q41" s="1041">
        <f>'Tariff SUMMARY 25-26'!$B$18*'Annexure A'!$R$72</f>
        <v>18064.353534632155</v>
      </c>
      <c r="R41" s="1041">
        <f>'Tariff SUMMARY 25-26'!$B$18*'Annexure A'!$R$72</f>
        <v>18064.353534632155</v>
      </c>
      <c r="S41" s="1041">
        <f>'Tariff SUMMARY 25-26'!$B$18*'Annexure A'!$R$72</f>
        <v>18064.353534632155</v>
      </c>
      <c r="T41" s="1041">
        <f>'Tariff SUMMARY 25-26'!$B$18*'Annexure A'!$R$72</f>
        <v>18064.353534632155</v>
      </c>
      <c r="U41" s="1041">
        <f>'Tariff SUMMARY 25-26'!$B$18*'Annexure A'!$R$72</f>
        <v>18064.353534632155</v>
      </c>
      <c r="V41" s="1041">
        <f t="shared" ref="V41:V46" si="1">SUM(L41:T41)</f>
        <v>162579.1818116894</v>
      </c>
      <c r="W41" s="1041">
        <f t="shared" ref="W41:W46" si="2">U41+J41+K41</f>
        <v>54193.060603896462</v>
      </c>
    </row>
    <row r="42" spans="1:24" s="364" customFormat="1" x14ac:dyDescent="0.35">
      <c r="A42" s="1051" t="s">
        <v>256</v>
      </c>
      <c r="B42" s="1051" t="s">
        <v>256</v>
      </c>
      <c r="C42" s="1051" t="s">
        <v>862</v>
      </c>
      <c r="D42" s="1051" t="s">
        <v>862</v>
      </c>
      <c r="E42" s="1127" t="s">
        <v>862</v>
      </c>
      <c r="F42" s="1127" t="s">
        <v>862</v>
      </c>
      <c r="G42" s="1127"/>
      <c r="H42" s="1127"/>
      <c r="I42" s="1053">
        <f t="shared" si="0"/>
        <v>17949114.710331388</v>
      </c>
      <c r="J42" s="1053">
        <v>1822289.52972</v>
      </c>
      <c r="K42" s="1053">
        <v>1755536.18132</v>
      </c>
      <c r="L42" s="1053">
        <v>1755536.18132</v>
      </c>
      <c r="M42" s="1053">
        <v>1755536.18132</v>
      </c>
      <c r="N42" s="1053">
        <f>('Tariff Rand Values 2024-25 Actu'!N42*'MSCOA - Tariff Structure'!$S$2)+'Tariff Rand Values 2024-25 Actu'!N42</f>
        <v>1755536.18132</v>
      </c>
      <c r="O42" s="1053">
        <f>('Tariff Rand Values 2024-25 Actu'!O42*'MSCOA - Tariff Structure'!$S$2)+'Tariff Rand Values 2024-25 Actu'!O42</f>
        <v>1755536.18132</v>
      </c>
      <c r="P42" s="1053">
        <f>('Tariff Rand Values 2024-25 Actu'!P42*'MSCOA - Tariff Structure'!$S$2)+'Tariff Rand Values 2024-25 Actu'!P42</f>
        <v>1755536.18132</v>
      </c>
      <c r="Q42" s="1053">
        <f>('Tariff Rand Values 2024-25 Actu'!Q42*'MSCOA - Tariff Structure'!$S$2)+'Tariff Rand Values 2024-25 Actu'!Q42</f>
        <v>1755536.18132</v>
      </c>
      <c r="R42" s="1053">
        <f>('Tariff Rand Values 2024-25 Actu'!R42*'MSCOA - Tariff Structure'!$S$2)+'Tariff Rand Values 2024-25 Actu'!R42</f>
        <v>918847.30405358574</v>
      </c>
      <c r="S42" s="1053">
        <f>('Tariff Rand Values 2024-25 Actu'!S42*'MSCOA - Tariff Structure'!$S$2)+'Tariff Rand Values 2024-25 Actu'!S42</f>
        <v>922028.0987282804</v>
      </c>
      <c r="T42" s="1053">
        <f>('Tariff Rand Values 2024-25 Actu'!T42*'MSCOA - Tariff Structure'!$S$2)+'Tariff Rand Values 2024-25 Actu'!T42</f>
        <v>958493.96132364182</v>
      </c>
      <c r="U42" s="1053">
        <f>('Tariff Rand Values 2024-25 Actu'!U42*'MSCOA - Tariff Structure'!$S$2)+'Tariff Rand Values 2024-25 Actu'!U42</f>
        <v>1038702.5472658745</v>
      </c>
      <c r="V42" s="1054">
        <f t="shared" si="1"/>
        <v>13332586.452025509</v>
      </c>
      <c r="W42" s="1054">
        <f t="shared" si="2"/>
        <v>4616528.2583058737</v>
      </c>
    </row>
    <row r="43" spans="1:24" s="364" customFormat="1" x14ac:dyDescent="0.35">
      <c r="A43" s="1051" t="s">
        <v>257</v>
      </c>
      <c r="B43" s="1051" t="s">
        <v>257</v>
      </c>
      <c r="C43" s="1051" t="s">
        <v>861</v>
      </c>
      <c r="D43" s="1051" t="s">
        <v>1385</v>
      </c>
      <c r="E43" s="1127" t="s">
        <v>861</v>
      </c>
      <c r="F43" s="1127" t="s">
        <v>861</v>
      </c>
      <c r="G43" s="1127"/>
      <c r="H43" s="1127"/>
      <c r="I43" s="1053">
        <f t="shared" si="0"/>
        <v>36736206.375994667</v>
      </c>
      <c r="J43" s="1053">
        <v>4883948.0942000002</v>
      </c>
      <c r="K43" s="1053">
        <v>4469895.943</v>
      </c>
      <c r="L43" s="1053">
        <v>3725668.3646799996</v>
      </c>
      <c r="M43" s="1053">
        <v>3397570.4717199998</v>
      </c>
      <c r="N43" s="1053">
        <f>('Tariff Rand Values 2024-25 Actu'!N43*'MSCOA - Tariff Structure'!$S$2)+'Tariff Rand Values 2024-25 Actu'!N43</f>
        <v>2831408.85048</v>
      </c>
      <c r="O43" s="1053">
        <f>('Tariff Rand Values 2024-25 Actu'!O43*'MSCOA - Tariff Structure'!$S$2)+'Tariff Rand Values 2024-25 Actu'!O43</f>
        <v>2526188.67368</v>
      </c>
      <c r="P43" s="1053">
        <f>('Tariff Rand Values 2024-25 Actu'!P43*'MSCOA - Tariff Structure'!$S$2)+'Tariff Rand Values 2024-25 Actu'!P43</f>
        <v>3077732.5737600001</v>
      </c>
      <c r="Q43" s="1053">
        <f>('Tariff Rand Values 2024-25 Actu'!Q43*'MSCOA - Tariff Structure'!$S$2)+'Tariff Rand Values 2024-25 Actu'!Q43</f>
        <v>3077732.5737600001</v>
      </c>
      <c r="R43" s="1053">
        <f>('Tariff Rand Values 2024-25 Actu'!R43*'MSCOA - Tariff Structure'!$S$2)+'Tariff Rand Values 2024-25 Actu'!R43</f>
        <v>1830502.9783799048</v>
      </c>
      <c r="S43" s="1053">
        <f>('Tariff Rand Values 2024-25 Actu'!S43*'MSCOA - Tariff Structure'!$S$2)+'Tariff Rand Values 2024-25 Actu'!S43</f>
        <v>1832280.8865906745</v>
      </c>
      <c r="T43" s="1053">
        <f>('Tariff Rand Values 2024-25 Actu'!T43*'MSCOA - Tariff Structure'!$S$2)+'Tariff Rand Values 2024-25 Actu'!T43</f>
        <v>2355728.3792700251</v>
      </c>
      <c r="U43" s="1053">
        <f>('Tariff Rand Values 2024-25 Actu'!U43*'MSCOA - Tariff Structure'!$S$2)+'Tariff Rand Values 2024-25 Actu'!U43</f>
        <v>2727548.5864740624</v>
      </c>
      <c r="V43" s="1054">
        <f t="shared" si="1"/>
        <v>24654813.752320603</v>
      </c>
      <c r="W43" s="1054">
        <f t="shared" si="2"/>
        <v>12081392.623674063</v>
      </c>
    </row>
    <row r="44" spans="1:24" s="364" customFormat="1" x14ac:dyDescent="0.35">
      <c r="A44" s="1038" t="s">
        <v>435</v>
      </c>
      <c r="B44" s="1038" t="s">
        <v>258</v>
      </c>
      <c r="C44" s="1038" t="s">
        <v>857</v>
      </c>
      <c r="D44" s="1038" t="s">
        <v>859</v>
      </c>
      <c r="E44" s="1122" t="s">
        <v>857</v>
      </c>
      <c r="F44" s="1122" t="s">
        <v>859</v>
      </c>
      <c r="G44" s="1122"/>
      <c r="H44" s="1122"/>
      <c r="I44" s="1043">
        <f t="shared" si="0"/>
        <v>34323019.343563914</v>
      </c>
      <c r="J44" s="1036">
        <v>7726388.8810400004</v>
      </c>
      <c r="K44" s="1036">
        <v>6237497.1290799994</v>
      </c>
      <c r="L44" s="1036">
        <v>2474649.4071199996</v>
      </c>
      <c r="M44" s="1036">
        <v>2505781.9816000001</v>
      </c>
      <c r="N44" s="1036">
        <f>('Tariff Rand Values 2024-25 Actu'!N44*'MSCOA - Tariff Structure'!$S$2)+'Tariff Rand Values 2024-25 Actu'!N44</f>
        <v>1929825.6445200001</v>
      </c>
      <c r="O44" s="1036">
        <f>('Tariff Rand Values 2024-25 Actu'!O44*'MSCOA - Tariff Structure'!$S$2)+'Tariff Rand Values 2024-25 Actu'!O44</f>
        <v>1389679.5427999999</v>
      </c>
      <c r="P44" s="1036">
        <f>('Tariff Rand Values 2024-25 Actu'!P44*'MSCOA - Tariff Structure'!$S$2)+'Tariff Rand Values 2024-25 Actu'!P44</f>
        <v>2087130.8495199999</v>
      </c>
      <c r="Q44" s="1036">
        <f>('Tariff Rand Values 2024-25 Actu'!Q44*'MSCOA - Tariff Structure'!$S$2)+'Tariff Rand Values 2024-25 Actu'!Q44</f>
        <v>2087130.8495199999</v>
      </c>
      <c r="R44" s="1036">
        <f>('Tariff Rand Values 2024-25 Actu'!R44*'MSCOA - Tariff Structure'!$S$2)+'Tariff Rand Values 2024-25 Actu'!R44</f>
        <v>1175226.695517381</v>
      </c>
      <c r="S44" s="1036">
        <f>('Tariff Rand Values 2024-25 Actu'!S44*'MSCOA - Tariff Structure'!$S$2)+'Tariff Rand Values 2024-25 Actu'!S44</f>
        <v>1298944.2216455857</v>
      </c>
      <c r="T44" s="1036">
        <f>('Tariff Rand Values 2024-25 Actu'!T44*'MSCOA - Tariff Structure'!$S$2)+'Tariff Rand Values 2024-25 Actu'!T44</f>
        <v>1720865.2411934915</v>
      </c>
      <c r="U44" s="1036">
        <f>('Tariff Rand Values 2024-25 Actu'!U44*'MSCOA - Tariff Structure'!$S$2)+'Tariff Rand Values 2024-25 Actu'!U44</f>
        <v>3689898.9000074486</v>
      </c>
      <c r="V44" s="1036">
        <f t="shared" si="1"/>
        <v>16669234.433436459</v>
      </c>
      <c r="W44" s="1036">
        <f t="shared" si="2"/>
        <v>17653784.910127446</v>
      </c>
    </row>
    <row r="45" spans="1:24" s="364" customFormat="1" x14ac:dyDescent="0.35">
      <c r="A45" s="1038" t="s">
        <v>438</v>
      </c>
      <c r="B45" s="1038" t="s">
        <v>259</v>
      </c>
      <c r="C45" s="1038" t="s">
        <v>856</v>
      </c>
      <c r="D45" s="1038" t="s">
        <v>858</v>
      </c>
      <c r="E45" s="1122" t="s">
        <v>856</v>
      </c>
      <c r="F45" s="1122" t="s">
        <v>858</v>
      </c>
      <c r="G45" s="1122"/>
      <c r="H45" s="1122"/>
      <c r="I45" s="1043">
        <f t="shared" si="0"/>
        <v>47187434.014012948</v>
      </c>
      <c r="J45" s="1036">
        <v>8978110.9455600008</v>
      </c>
      <c r="K45" s="1036">
        <v>7648496.3779199999</v>
      </c>
      <c r="L45" s="1036">
        <v>3778923.73196</v>
      </c>
      <c r="M45" s="1036">
        <v>3618892.1188400001</v>
      </c>
      <c r="N45" s="1036">
        <f>('Tariff Rand Values 2024-25 Actu'!N45*'MSCOA - Tariff Structure'!$S$2)+'Tariff Rand Values 2024-25 Actu'!N45</f>
        <v>3090233.0948000001</v>
      </c>
      <c r="O45" s="1036">
        <f>('Tariff Rand Values 2024-25 Actu'!O45*'MSCOA - Tariff Structure'!$S$2)+'Tariff Rand Values 2024-25 Actu'!O45</f>
        <v>2135023.5116400002</v>
      </c>
      <c r="P45" s="1036">
        <f>('Tariff Rand Values 2024-25 Actu'!P45*'MSCOA - Tariff Structure'!$S$2)+'Tariff Rand Values 2024-25 Actu'!P45</f>
        <v>3232684.1340000001</v>
      </c>
      <c r="Q45" s="1036">
        <f>('Tariff Rand Values 2024-25 Actu'!Q45*'MSCOA - Tariff Structure'!$S$2)+'Tariff Rand Values 2024-25 Actu'!Q45</f>
        <v>3232684.1340000001</v>
      </c>
      <c r="R45" s="1036">
        <f>('Tariff Rand Values 2024-25 Actu'!R45*'MSCOA - Tariff Structure'!$S$2)+'Tariff Rand Values 2024-25 Actu'!R45</f>
        <v>2191315.8283113185</v>
      </c>
      <c r="S45" s="1036">
        <f>('Tariff Rand Values 2024-25 Actu'!S45*'MSCOA - Tariff Structure'!$S$2)+'Tariff Rand Values 2024-25 Actu'!S45</f>
        <v>2039536.2893151408</v>
      </c>
      <c r="T45" s="1036">
        <f>('Tariff Rand Values 2024-25 Actu'!T45*'MSCOA - Tariff Structure'!$S$2)+'Tariff Rand Values 2024-25 Actu'!T45</f>
        <v>2655020.2624644516</v>
      </c>
      <c r="U45" s="1036">
        <f>('Tariff Rand Values 2024-25 Actu'!U45*'MSCOA - Tariff Structure'!$S$2)+'Tariff Rand Values 2024-25 Actu'!U45</f>
        <v>4586513.5852020383</v>
      </c>
      <c r="V45" s="1036">
        <f t="shared" si="1"/>
        <v>25974313.105330911</v>
      </c>
      <c r="W45" s="1036">
        <f t="shared" si="2"/>
        <v>21213120.908682041</v>
      </c>
    </row>
    <row r="46" spans="1:24" s="364" customFormat="1" x14ac:dyDescent="0.35">
      <c r="A46" s="1038" t="s">
        <v>491</v>
      </c>
      <c r="B46" s="1038" t="s">
        <v>260</v>
      </c>
      <c r="C46" s="1038" t="s">
        <v>490</v>
      </c>
      <c r="D46" s="1038" t="s">
        <v>860</v>
      </c>
      <c r="E46" s="1122" t="s">
        <v>490</v>
      </c>
      <c r="F46" s="1122" t="s">
        <v>860</v>
      </c>
      <c r="G46" s="1122"/>
      <c r="H46" s="1122"/>
      <c r="I46" s="1043">
        <f t="shared" si="0"/>
        <v>45697594.32241071</v>
      </c>
      <c r="J46" s="1036">
        <v>7923444.7394399997</v>
      </c>
      <c r="K46" s="1036">
        <v>7610911.1554799993</v>
      </c>
      <c r="L46" s="1036">
        <v>4058454.3717199997</v>
      </c>
      <c r="M46" s="1036">
        <v>3255218.4569200003</v>
      </c>
      <c r="N46" s="1036">
        <f>('Tariff Rand Values 2024-25 Actu'!N46*'MSCOA - Tariff Structure'!$S$2)+'Tariff Rand Values 2024-25 Actu'!N46</f>
        <v>2955544.5681999996</v>
      </c>
      <c r="O46" s="1036">
        <f>('Tariff Rand Values 2024-25 Actu'!O46*'MSCOA - Tariff Structure'!$S$2)+'Tariff Rand Values 2024-25 Actu'!O46</f>
        <v>2860798.1346799997</v>
      </c>
      <c r="P46" s="1036">
        <f>('Tariff Rand Values 2024-25 Actu'!P46*'MSCOA - Tariff Structure'!$S$2)+'Tariff Rand Values 2024-25 Actu'!P46</f>
        <v>2968481.7407600004</v>
      </c>
      <c r="Q46" s="1036">
        <f>('Tariff Rand Values 2024-25 Actu'!Q46*'MSCOA - Tariff Structure'!$S$2)+'Tariff Rand Values 2024-25 Actu'!Q46</f>
        <v>2968481.7407600004</v>
      </c>
      <c r="R46" s="1036">
        <f>('Tariff Rand Values 2024-25 Actu'!R46*'MSCOA - Tariff Structure'!$S$2)+'Tariff Rand Values 2024-25 Actu'!R46</f>
        <v>2064449.3887903835</v>
      </c>
      <c r="S46" s="1036">
        <f>('Tariff Rand Values 2024-25 Actu'!S46*'MSCOA - Tariff Structure'!$S$2)+'Tariff Rand Values 2024-25 Actu'!S46</f>
        <v>2118579.1819714908</v>
      </c>
      <c r="T46" s="1036">
        <f>('Tariff Rand Values 2024-25 Actu'!T46*'MSCOA - Tariff Structure'!$S$2)+'Tariff Rand Values 2024-25 Actu'!T46</f>
        <v>2461065.8937176331</v>
      </c>
      <c r="U46" s="1036">
        <f>('Tariff Rand Values 2024-25 Actu'!U46*'MSCOA - Tariff Structure'!$S$2)+'Tariff Rand Values 2024-25 Actu'!U46</f>
        <v>4452164.9499712056</v>
      </c>
      <c r="V46" s="1036">
        <f t="shared" si="1"/>
        <v>25711073.477519505</v>
      </c>
      <c r="W46" s="1036">
        <f t="shared" si="2"/>
        <v>19986520.844891205</v>
      </c>
    </row>
    <row r="47" spans="1:24" s="364" customFormat="1" ht="15" thickBot="1" x14ac:dyDescent="0.4">
      <c r="A47" s="359" t="s">
        <v>261</v>
      </c>
      <c r="I47" s="1060">
        <f>SUM(I48:I53)</f>
        <v>1036439317.9002839</v>
      </c>
      <c r="J47" s="1125"/>
      <c r="K47" s="1125"/>
      <c r="L47" s="1125"/>
      <c r="M47" s="1125"/>
      <c r="N47" s="1125"/>
      <c r="O47" s="1125"/>
      <c r="P47" s="1125"/>
      <c r="Q47" s="1125"/>
      <c r="R47" s="1125"/>
      <c r="S47" s="1125"/>
      <c r="T47" s="1125"/>
      <c r="U47" s="1125"/>
      <c r="V47" s="611">
        <f>+V46+V45+V44+V43+V42+V41</f>
        <v>106504600.40244466</v>
      </c>
      <c r="W47" s="611">
        <f>+W46+W45+W44+W43+W42+W41</f>
        <v>75605540.606284529</v>
      </c>
      <c r="X47" s="364">
        <f>+W47+V47</f>
        <v>182110141.00872919</v>
      </c>
    </row>
    <row r="48" spans="1:24" s="364" customFormat="1" ht="15" thickTop="1" x14ac:dyDescent="0.35">
      <c r="A48" s="1040" t="s">
        <v>262</v>
      </c>
      <c r="B48" s="1040" t="s">
        <v>262</v>
      </c>
      <c r="C48" s="1040" t="s">
        <v>854</v>
      </c>
      <c r="D48" s="1040" t="s">
        <v>1383</v>
      </c>
      <c r="E48" s="1040" t="s">
        <v>854</v>
      </c>
      <c r="F48" s="1040" t="s">
        <v>854</v>
      </c>
      <c r="G48" s="1040"/>
      <c r="H48" s="1040"/>
      <c r="I48" s="1041">
        <f>SUM(J48:U48)</f>
        <v>7899983.9782250673</v>
      </c>
      <c r="J48" s="1041">
        <f>'Tariff SUMMARY 25-26'!$B$19*'Annexure A'!$R$82</f>
        <v>658331.99818542227</v>
      </c>
      <c r="K48" s="1041">
        <f>'Tariff SUMMARY 25-26'!$B$19*'Annexure A'!$R$82</f>
        <v>658331.99818542227</v>
      </c>
      <c r="L48" s="1041">
        <f>'Tariff SUMMARY 25-26'!$B$19*'Annexure A'!$R$82</f>
        <v>658331.99818542227</v>
      </c>
      <c r="M48" s="1041">
        <f>'Tariff SUMMARY 25-26'!$B$19*'Annexure A'!$R$82</f>
        <v>658331.99818542227</v>
      </c>
      <c r="N48" s="1041">
        <f>'Tariff SUMMARY 25-26'!$B$19*'Annexure A'!$R$82</f>
        <v>658331.99818542227</v>
      </c>
      <c r="O48" s="1041">
        <f>'Tariff SUMMARY 25-26'!$B$19*'Annexure A'!$R$82</f>
        <v>658331.99818542227</v>
      </c>
      <c r="P48" s="1041">
        <f>'Tariff SUMMARY 25-26'!$B$19*'Annexure A'!$R$82</f>
        <v>658331.99818542227</v>
      </c>
      <c r="Q48" s="1041">
        <f>'Tariff SUMMARY 25-26'!$B$19*'Annexure A'!$R$82</f>
        <v>658331.99818542227</v>
      </c>
      <c r="R48" s="1041">
        <f>'Tariff SUMMARY 25-26'!$B$19*'Annexure A'!$R$82</f>
        <v>658331.99818542227</v>
      </c>
      <c r="S48" s="1041">
        <f>'Tariff SUMMARY 25-26'!$B$19*'Annexure A'!$R$82</f>
        <v>658331.99818542227</v>
      </c>
      <c r="T48" s="1041">
        <f>'Tariff SUMMARY 25-26'!$B$19*'Annexure A'!$R$82</f>
        <v>658331.99818542227</v>
      </c>
      <c r="U48" s="1041">
        <f>'Tariff SUMMARY 25-26'!$B$19*'Annexure A'!$R$82</f>
        <v>658331.99818542227</v>
      </c>
      <c r="V48" s="1041">
        <f t="shared" ref="V48:V53" si="3">SUM(L48:T48)</f>
        <v>5924987.9836688004</v>
      </c>
      <c r="W48" s="1041">
        <f t="shared" ref="W48:W53" si="4">U48+J48+K48</f>
        <v>1974995.9945562668</v>
      </c>
    </row>
    <row r="49" spans="1:24" s="364" customFormat="1" x14ac:dyDescent="0.35">
      <c r="A49" s="1051" t="s">
        <v>262</v>
      </c>
      <c r="B49" s="1051" t="s">
        <v>262</v>
      </c>
      <c r="C49" s="1051" t="s">
        <v>854</v>
      </c>
      <c r="D49" s="1051" t="s">
        <v>854</v>
      </c>
      <c r="E49" s="1127" t="s">
        <v>854</v>
      </c>
      <c r="F49" s="1127" t="s">
        <v>854</v>
      </c>
      <c r="G49" s="1127"/>
      <c r="H49" s="1127"/>
      <c r="I49" s="1053">
        <f t="shared" ref="I49:I53" si="5">SUM(J49:U49)</f>
        <v>104875653.84196171</v>
      </c>
      <c r="J49" s="1053">
        <v>9846013.4915200006</v>
      </c>
      <c r="K49" s="1053">
        <v>9692265.6790800001</v>
      </c>
      <c r="L49" s="1053">
        <v>9595490.4143199995</v>
      </c>
      <c r="M49" s="1053">
        <v>9661935.9553200006</v>
      </c>
      <c r="N49" s="1053">
        <f>('Tariff Rand Values 2024-25 Actu'!N49*'MSCOA - Tariff Structure'!$S$2)+'Tariff Rand Values 2024-25 Actu'!N49</f>
        <v>9701011.5343200006</v>
      </c>
      <c r="O49" s="1053">
        <f>('Tariff Rand Values 2024-25 Actu'!O49*'MSCOA - Tariff Structure'!$S$2)+'Tariff Rand Values 2024-25 Actu'!O49</f>
        <v>9729862.8946000002</v>
      </c>
      <c r="P49" s="1053">
        <f>('Tariff Rand Values 2024-25 Actu'!P49*'MSCOA - Tariff Structure'!$S$2)+'Tariff Rand Values 2024-25 Actu'!P49</f>
        <v>9679906.8045199998</v>
      </c>
      <c r="Q49" s="1053">
        <f>('Tariff Rand Values 2024-25 Actu'!Q49*'MSCOA - Tariff Structure'!$S$2)+'Tariff Rand Values 2024-25 Actu'!Q49</f>
        <v>9679906.8045199998</v>
      </c>
      <c r="R49" s="1053">
        <f>('Tariff Rand Values 2024-25 Actu'!R49*'MSCOA - Tariff Structure'!$S$2)+'Tariff Rand Values 2024-25 Actu'!R49</f>
        <v>6739319.1193165435</v>
      </c>
      <c r="S49" s="1053">
        <f>('Tariff Rand Values 2024-25 Actu'!S49*'MSCOA - Tariff Structure'!$S$2)+'Tariff Rand Values 2024-25 Actu'!S49</f>
        <v>6784315.4682855979</v>
      </c>
      <c r="T49" s="1053">
        <f>('Tariff Rand Values 2024-25 Actu'!T49*'MSCOA - Tariff Structure'!$S$2)+'Tariff Rand Values 2024-25 Actu'!T49</f>
        <v>6856092.4860780528</v>
      </c>
      <c r="U49" s="1053">
        <f>('Tariff Rand Values 2024-25 Actu'!U49*'MSCOA - Tariff Structure'!$S$2)+'Tariff Rand Values 2024-25 Actu'!U49</f>
        <v>6909533.1900815107</v>
      </c>
      <c r="V49" s="1054">
        <f t="shared" si="3"/>
        <v>78427841.481280193</v>
      </c>
      <c r="W49" s="1054">
        <f t="shared" si="4"/>
        <v>26447812.360681511</v>
      </c>
    </row>
    <row r="50" spans="1:24" s="364" customFormat="1" x14ac:dyDescent="0.35">
      <c r="A50" s="1051" t="s">
        <v>263</v>
      </c>
      <c r="B50" s="1051" t="s">
        <v>263</v>
      </c>
      <c r="C50" s="1051" t="s">
        <v>853</v>
      </c>
      <c r="D50" s="1051" t="s">
        <v>1384</v>
      </c>
      <c r="E50" s="1127" t="s">
        <v>853</v>
      </c>
      <c r="F50" s="1127" t="s">
        <v>853</v>
      </c>
      <c r="G50" s="1127"/>
      <c r="H50" s="1127"/>
      <c r="I50" s="1053">
        <f t="shared" si="5"/>
        <v>229663730.95576215</v>
      </c>
      <c r="J50" s="1053">
        <v>22059821.610440001</v>
      </c>
      <c r="K50" s="1053">
        <v>20973246.696599998</v>
      </c>
      <c r="L50" s="1053">
        <v>19718073.536200002</v>
      </c>
      <c r="M50" s="1053">
        <v>20631762.536880001</v>
      </c>
      <c r="N50" s="1053">
        <f>('Tariff Rand Values 2024-25 Actu'!N50*'MSCOA - Tariff Structure'!$S$2)+'Tariff Rand Values 2024-25 Actu'!N50</f>
        <v>20821998.884960003</v>
      </c>
      <c r="O50" s="1053">
        <f>('Tariff Rand Values 2024-25 Actu'!O50*'MSCOA - Tariff Structure'!$S$2)+'Tariff Rand Values 2024-25 Actu'!O50</f>
        <v>20958975.178679999</v>
      </c>
      <c r="P50" s="1053">
        <f>('Tariff Rand Values 2024-25 Actu'!P50*'MSCOA - Tariff Structure'!$S$2)+'Tariff Rand Values 2024-25 Actu'!P50</f>
        <v>21245431.029720001</v>
      </c>
      <c r="Q50" s="1053">
        <f>('Tariff Rand Values 2024-25 Actu'!Q50*'MSCOA - Tariff Structure'!$S$2)+'Tariff Rand Values 2024-25 Actu'!Q50</f>
        <v>21168036.143880002</v>
      </c>
      <c r="R50" s="1053">
        <f>('Tariff Rand Values 2024-25 Actu'!R50*'MSCOA - Tariff Structure'!$S$2)+'Tariff Rand Values 2024-25 Actu'!R50</f>
        <v>15560553.370936919</v>
      </c>
      <c r="S50" s="1053">
        <f>('Tariff Rand Values 2024-25 Actu'!S50*'MSCOA - Tariff Structure'!$S$2)+'Tariff Rand Values 2024-25 Actu'!S50</f>
        <v>15350709.166805584</v>
      </c>
      <c r="T50" s="1053">
        <f>('Tariff Rand Values 2024-25 Actu'!T50*'MSCOA - Tariff Structure'!$S$2)+'Tariff Rand Values 2024-25 Actu'!T50</f>
        <v>15286544.636369171</v>
      </c>
      <c r="U50" s="1053">
        <f>('Tariff Rand Values 2024-25 Actu'!U50*'MSCOA - Tariff Structure'!$S$2)+'Tariff Rand Values 2024-25 Actu'!U50</f>
        <v>15888578.164290423</v>
      </c>
      <c r="V50" s="1054">
        <f>SUM(L50:T50)</f>
        <v>170742084.48443171</v>
      </c>
      <c r="W50" s="1054">
        <f t="shared" si="4"/>
        <v>58921646.471330419</v>
      </c>
    </row>
    <row r="51" spans="1:24" s="364" customFormat="1" x14ac:dyDescent="0.35">
      <c r="A51" s="1038" t="s">
        <v>423</v>
      </c>
      <c r="B51" s="1038" t="s">
        <v>264</v>
      </c>
      <c r="C51" s="1038" t="s">
        <v>849</v>
      </c>
      <c r="D51" s="1038" t="s">
        <v>852</v>
      </c>
      <c r="E51" s="1122" t="s">
        <v>849</v>
      </c>
      <c r="F51" s="1122" t="s">
        <v>852</v>
      </c>
      <c r="G51" s="1122"/>
      <c r="H51" s="1122"/>
      <c r="I51" s="1043">
        <f t="shared" si="5"/>
        <v>181889235.07622012</v>
      </c>
      <c r="J51" s="1036">
        <v>30671777.63036</v>
      </c>
      <c r="K51" s="1036">
        <v>26746082.259399999</v>
      </c>
      <c r="L51" s="1036">
        <v>11890869.082480002</v>
      </c>
      <c r="M51" s="1036">
        <v>13122202.405200001</v>
      </c>
      <c r="N51" s="1036">
        <f>('Tariff Rand Values 2024-25 Actu'!N51*'MSCOA - Tariff Structure'!$S$2)+'Tariff Rand Values 2024-25 Actu'!N51</f>
        <v>11963908.681879999</v>
      </c>
      <c r="O51" s="1036">
        <f>('Tariff Rand Values 2024-25 Actu'!O51*'MSCOA - Tariff Structure'!$S$2)+'Tariff Rand Values 2024-25 Actu'!O51</f>
        <v>10887215.35784</v>
      </c>
      <c r="P51" s="1036">
        <f>('Tariff Rand Values 2024-25 Actu'!P51*'MSCOA - Tariff Structure'!$S$2)+'Tariff Rand Values 2024-25 Actu'!P51</f>
        <v>13229398.184039999</v>
      </c>
      <c r="Q51" s="1036">
        <f>('Tariff Rand Values 2024-25 Actu'!Q51*'MSCOA - Tariff Structure'!$S$2)+'Tariff Rand Values 2024-25 Actu'!Q51</f>
        <v>13196111.598439999</v>
      </c>
      <c r="R51" s="1036">
        <f>('Tariff Rand Values 2024-25 Actu'!R51*'MSCOA - Tariff Structure'!$S$2)+'Tariff Rand Values 2024-25 Actu'!R51</f>
        <v>10268571.950948764</v>
      </c>
      <c r="S51" s="1036">
        <f>('Tariff Rand Values 2024-25 Actu'!S51*'MSCOA - Tariff Structure'!$S$2)+'Tariff Rand Values 2024-25 Actu'!S51</f>
        <v>9005298.6323097907</v>
      </c>
      <c r="T51" s="1036">
        <f>('Tariff Rand Values 2024-25 Actu'!T51*'MSCOA - Tariff Structure'!$S$2)+'Tariff Rand Values 2024-25 Actu'!T51</f>
        <v>9872692.0010782797</v>
      </c>
      <c r="U51" s="1036">
        <f>('Tariff Rand Values 2024-25 Actu'!U51*'MSCOA - Tariff Structure'!$S$2)+'Tariff Rand Values 2024-25 Actu'!U51</f>
        <v>21035107.292243265</v>
      </c>
      <c r="V51" s="1036">
        <f t="shared" si="3"/>
        <v>103436267.89421682</v>
      </c>
      <c r="W51" s="1036">
        <f t="shared" si="4"/>
        <v>78452967.18200326</v>
      </c>
    </row>
    <row r="52" spans="1:24" s="364" customFormat="1" x14ac:dyDescent="0.35">
      <c r="A52" s="1038" t="s">
        <v>425</v>
      </c>
      <c r="B52" s="1038" t="s">
        <v>265</v>
      </c>
      <c r="C52" s="1038" t="s">
        <v>848</v>
      </c>
      <c r="D52" s="1038" t="s">
        <v>851</v>
      </c>
      <c r="E52" s="1122" t="s">
        <v>848</v>
      </c>
      <c r="F52" s="1122" t="s">
        <v>851</v>
      </c>
      <c r="G52" s="1122"/>
      <c r="H52" s="1122"/>
      <c r="I52" s="1043">
        <f t="shared" si="5"/>
        <v>265110868.3008306</v>
      </c>
      <c r="J52" s="1036">
        <v>35584937.236919999</v>
      </c>
      <c r="K52" s="1036">
        <v>32382370.90772</v>
      </c>
      <c r="L52" s="1036">
        <v>19044757.724119999</v>
      </c>
      <c r="M52" s="1036">
        <v>20610589.243079998</v>
      </c>
      <c r="N52" s="1036">
        <f>('Tariff Rand Values 2024-25 Actu'!N52*'MSCOA - Tariff Structure'!$S$2)+'Tariff Rand Values 2024-25 Actu'!N52</f>
        <v>20094810.910599999</v>
      </c>
      <c r="O52" s="1036">
        <f>('Tariff Rand Values 2024-25 Actu'!O52*'MSCOA - Tariff Structure'!$S$2)+'Tariff Rand Values 2024-25 Actu'!O52</f>
        <v>18564001.590599999</v>
      </c>
      <c r="P52" s="1036">
        <f>('Tariff Rand Values 2024-25 Actu'!P52*'MSCOA - Tariff Structure'!$S$2)+'Tariff Rand Values 2024-25 Actu'!P52</f>
        <v>21524199.383920003</v>
      </c>
      <c r="Q52" s="1036">
        <f>('Tariff Rand Values 2024-25 Actu'!Q52*'MSCOA - Tariff Structure'!$S$2)+'Tariff Rand Values 2024-25 Actu'!Q52</f>
        <v>21472604.17588</v>
      </c>
      <c r="R52" s="1036">
        <f>('Tariff Rand Values 2024-25 Actu'!R52*'MSCOA - Tariff Structure'!$S$2)+'Tariff Rand Values 2024-25 Actu'!R52</f>
        <v>17528962.518295735</v>
      </c>
      <c r="S52" s="1036">
        <f>('Tariff Rand Values 2024-25 Actu'!S52*'MSCOA - Tariff Structure'!$S$2)+'Tariff Rand Values 2024-25 Actu'!S52</f>
        <v>15412372.854965037</v>
      </c>
      <c r="T52" s="1036">
        <f>('Tariff Rand Values 2024-25 Actu'!T52*'MSCOA - Tariff Structure'!$S$2)+'Tariff Rand Values 2024-25 Actu'!T52</f>
        <v>16298029.370097812</v>
      </c>
      <c r="U52" s="1036">
        <f>('Tariff Rand Values 2024-25 Actu'!U52*'MSCOA - Tariff Structure'!$S$2)+'Tariff Rand Values 2024-25 Actu'!U52</f>
        <v>26593232.384632036</v>
      </c>
      <c r="V52" s="1036">
        <f>SUM(L52:T52)</f>
        <v>170550327.77155858</v>
      </c>
      <c r="W52" s="1036">
        <f t="shared" si="4"/>
        <v>94560540.529272035</v>
      </c>
    </row>
    <row r="53" spans="1:24" s="364" customFormat="1" x14ac:dyDescent="0.35">
      <c r="A53" s="1038" t="s">
        <v>421</v>
      </c>
      <c r="B53" s="1038" t="s">
        <v>266</v>
      </c>
      <c r="C53" s="1038" t="s">
        <v>850</v>
      </c>
      <c r="D53" s="1038" t="s">
        <v>855</v>
      </c>
      <c r="E53" s="1122" t="s">
        <v>850</v>
      </c>
      <c r="F53" s="1122" t="s">
        <v>855</v>
      </c>
      <c r="G53" s="1122"/>
      <c r="H53" s="1122"/>
      <c r="I53" s="1043">
        <f t="shared" si="5"/>
        <v>246999845.74728432</v>
      </c>
      <c r="J53" s="1036">
        <v>30627267.398959998</v>
      </c>
      <c r="K53" s="1036">
        <v>31312610.662960004</v>
      </c>
      <c r="L53" s="1036">
        <v>19226866.596799999</v>
      </c>
      <c r="M53" s="1036">
        <v>18115132.359200001</v>
      </c>
      <c r="N53" s="1036">
        <f>('Tariff Rand Values 2024-25 Actu'!N53*'MSCOA - Tariff Structure'!$S$2)+'Tariff Rand Values 2024-25 Actu'!N53</f>
        <v>18610823.215599999</v>
      </c>
      <c r="O53" s="1036">
        <f>('Tariff Rand Values 2024-25 Actu'!O53*'MSCOA - Tariff Structure'!$S$2)+'Tariff Rand Values 2024-25 Actu'!O53</f>
        <v>20947141.819079999</v>
      </c>
      <c r="P53" s="1036">
        <f>('Tariff Rand Values 2024-25 Actu'!P53*'MSCOA - Tariff Structure'!$S$2)+'Tariff Rand Values 2024-25 Actu'!P53</f>
        <v>19447786.324000001</v>
      </c>
      <c r="Q53" s="1036">
        <f>('Tariff Rand Values 2024-25 Actu'!Q53*'MSCOA - Tariff Structure'!$S$2)+'Tariff Rand Values 2024-25 Actu'!Q53</f>
        <v>19395695.308320001</v>
      </c>
      <c r="R53" s="1036">
        <f>('Tariff Rand Values 2024-25 Actu'!R53*'MSCOA - Tariff Structure'!$S$2)+'Tariff Rand Values 2024-25 Actu'!R53</f>
        <v>14505758.734921655</v>
      </c>
      <c r="S53" s="1036">
        <f>('Tariff Rand Values 2024-25 Actu'!S53*'MSCOA - Tariff Structure'!$S$2)+'Tariff Rand Values 2024-25 Actu'!S53</f>
        <v>15423240.327681612</v>
      </c>
      <c r="T53" s="1036">
        <f>('Tariff Rand Values 2024-25 Actu'!T53*'MSCOA - Tariff Structure'!$S$2)+'Tariff Rand Values 2024-25 Actu'!T53</f>
        <v>15327561.337678188</v>
      </c>
      <c r="U53" s="1036">
        <f>('Tariff Rand Values 2024-25 Actu'!U53*'MSCOA - Tariff Structure'!$S$2)+'Tariff Rand Values 2024-25 Actu'!U53</f>
        <v>24059961.662082858</v>
      </c>
      <c r="V53" s="1036">
        <f t="shared" si="3"/>
        <v>161000006.02328146</v>
      </c>
      <c r="W53" s="1036">
        <f t="shared" si="4"/>
        <v>85999839.724002868</v>
      </c>
    </row>
    <row r="54" spans="1:24" s="364" customFormat="1" ht="15" thickBot="1" x14ac:dyDescent="0.4">
      <c r="A54" s="359" t="s">
        <v>267</v>
      </c>
      <c r="I54" s="1060">
        <f>SUM(I55:I60)</f>
        <v>439929284.9382984</v>
      </c>
      <c r="J54" s="1125"/>
      <c r="K54" s="1125"/>
      <c r="L54" s="1125"/>
      <c r="M54" s="1125"/>
      <c r="N54" s="1125"/>
      <c r="O54" s="1125"/>
      <c r="P54" s="1125"/>
      <c r="Q54" s="1125"/>
      <c r="R54" s="1125"/>
      <c r="S54" s="1125"/>
      <c r="T54" s="1125"/>
      <c r="U54" s="1125"/>
      <c r="V54" s="611">
        <f>+V53+V52+V51+V50+V49+V48</f>
        <v>690081515.63843763</v>
      </c>
      <c r="W54" s="611">
        <f>+W53+W52+W51+W50+W49+W48</f>
        <v>346357802.26184636</v>
      </c>
      <c r="X54" s="364">
        <f>+W54+V54</f>
        <v>1036439317.9002841</v>
      </c>
    </row>
    <row r="55" spans="1:24" s="364" customFormat="1" ht="15" thickTop="1" x14ac:dyDescent="0.35">
      <c r="A55" s="1040" t="s">
        <v>268</v>
      </c>
      <c r="B55" s="1040" t="s">
        <v>268</v>
      </c>
      <c r="C55" s="1040" t="s">
        <v>847</v>
      </c>
      <c r="D55" s="1040" t="s">
        <v>1386</v>
      </c>
      <c r="E55" s="1040" t="s">
        <v>847</v>
      </c>
      <c r="F55" s="1040" t="s">
        <v>847</v>
      </c>
      <c r="G55" s="1040"/>
      <c r="H55" s="1040"/>
      <c r="I55" s="1041">
        <f t="shared" ref="I55:I60" si="6">SUM(J55:U55)</f>
        <v>20563913.488349769</v>
      </c>
      <c r="J55" s="1041">
        <f>'Tariff SUMMARY 25-26'!$B$20*'Annexure A'!$R$92</f>
        <v>1713659.4573624807</v>
      </c>
      <c r="K55" s="1041">
        <f>'Tariff SUMMARY 25-26'!$B$20*'Annexure A'!$R$92</f>
        <v>1713659.4573624807</v>
      </c>
      <c r="L55" s="1041">
        <f>'Tariff SUMMARY 25-26'!$B$20*'Annexure A'!$R$92</f>
        <v>1713659.4573624807</v>
      </c>
      <c r="M55" s="1041">
        <f>'Tariff SUMMARY 25-26'!$B$20*'Annexure A'!$R$92</f>
        <v>1713659.4573624807</v>
      </c>
      <c r="N55" s="1041">
        <f>'Tariff SUMMARY 25-26'!$B$20*'Annexure A'!$R$92</f>
        <v>1713659.4573624807</v>
      </c>
      <c r="O55" s="1041">
        <f>'Tariff SUMMARY 25-26'!$B$20*'Annexure A'!$R$92</f>
        <v>1713659.4573624807</v>
      </c>
      <c r="P55" s="1041">
        <f>'Tariff SUMMARY 25-26'!$B$20*'Annexure A'!$R$92</f>
        <v>1713659.4573624807</v>
      </c>
      <c r="Q55" s="1041">
        <f>'Tariff SUMMARY 25-26'!$B$20*'Annexure A'!$R$92</f>
        <v>1713659.4573624807</v>
      </c>
      <c r="R55" s="1041">
        <f>'Tariff SUMMARY 25-26'!$B$20*'Annexure A'!$R$92</f>
        <v>1713659.4573624807</v>
      </c>
      <c r="S55" s="1041">
        <f>'Tariff SUMMARY 25-26'!$B$20*'Annexure A'!$R$92</f>
        <v>1713659.4573624807</v>
      </c>
      <c r="T55" s="1041">
        <f>'Tariff SUMMARY 25-26'!$B$20*'Annexure A'!$R$92</f>
        <v>1713659.4573624807</v>
      </c>
      <c r="U55" s="1041">
        <f>'Tariff SUMMARY 25-26'!$B$20*'Annexure A'!$R$92</f>
        <v>1713659.4573624807</v>
      </c>
      <c r="V55" s="1041">
        <f t="shared" ref="V55:V60" si="7">SUM(L55:T55)</f>
        <v>15422935.116262326</v>
      </c>
      <c r="W55" s="1041">
        <f t="shared" ref="W55:W60" si="8">U55+J55+K55</f>
        <v>5140978.3720874423</v>
      </c>
    </row>
    <row r="56" spans="1:24" s="364" customFormat="1" x14ac:dyDescent="0.35">
      <c r="A56" s="1051" t="s">
        <v>268</v>
      </c>
      <c r="B56" s="1051" t="s">
        <v>268</v>
      </c>
      <c r="C56" s="1051" t="s">
        <v>847</v>
      </c>
      <c r="D56" s="1051" t="s">
        <v>847</v>
      </c>
      <c r="E56" s="1127" t="s">
        <v>847</v>
      </c>
      <c r="F56" s="1127" t="s">
        <v>847</v>
      </c>
      <c r="G56" s="1127"/>
      <c r="H56" s="1127"/>
      <c r="I56" s="1053">
        <f t="shared" si="6"/>
        <v>54938502.09547659</v>
      </c>
      <c r="J56" s="1053">
        <v>4945486.1275600009</v>
      </c>
      <c r="K56" s="1053">
        <v>4887012.0058000004</v>
      </c>
      <c r="L56" s="1053">
        <v>4892657.5318400003</v>
      </c>
      <c r="M56" s="1053">
        <v>4952800.4564000005</v>
      </c>
      <c r="N56" s="1053">
        <f>('Tariff Rand Values 2024-25 Actu'!N56*'MSCOA - Tariff Structure'!$S$2)+'Tariff Rand Values 2024-25 Actu'!N56</f>
        <v>5050668.7549600005</v>
      </c>
      <c r="O56" s="1053">
        <f>('Tariff Rand Values 2024-25 Actu'!O56*'MSCOA - Tariff Structure'!$S$2)+'Tariff Rand Values 2024-25 Actu'!O56</f>
        <v>5122916.4738800004</v>
      </c>
      <c r="P56" s="1053">
        <f>('Tariff Rand Values 2024-25 Actu'!P56*'MSCOA - Tariff Structure'!$S$2)+'Tariff Rand Values 2024-25 Actu'!P56</f>
        <v>5157406.0429600002</v>
      </c>
      <c r="Q56" s="1053">
        <f>('Tariff Rand Values 2024-25 Actu'!Q56*'MSCOA - Tariff Structure'!$S$2)+'Tariff Rand Values 2024-25 Actu'!Q56</f>
        <v>5163426.3443200011</v>
      </c>
      <c r="R56" s="1053">
        <f>('Tariff Rand Values 2024-25 Actu'!R56*'MSCOA - Tariff Structure'!$S$2)+'Tariff Rand Values 2024-25 Actu'!R56</f>
        <v>3645730.9686361495</v>
      </c>
      <c r="S56" s="1053">
        <f>('Tariff Rand Values 2024-25 Actu'!S56*'MSCOA - Tariff Structure'!$S$2)+'Tariff Rand Values 2024-25 Actu'!S56</f>
        <v>3685890.6152692582</v>
      </c>
      <c r="T56" s="1053">
        <f>('Tariff Rand Values 2024-25 Actu'!T56*'MSCOA - Tariff Structure'!$S$2)+'Tariff Rand Values 2024-25 Actu'!T56</f>
        <v>3716488.441275436</v>
      </c>
      <c r="U56" s="1053">
        <f>('Tariff Rand Values 2024-25 Actu'!U56*'MSCOA - Tariff Structure'!$S$2)+'Tariff Rand Values 2024-25 Actu'!U56</f>
        <v>3718018.3325757459</v>
      </c>
      <c r="V56" s="1054">
        <f t="shared" si="7"/>
        <v>41387985.629540838</v>
      </c>
      <c r="W56" s="1054">
        <f t="shared" si="8"/>
        <v>13550516.465935748</v>
      </c>
      <c r="X56" s="364" t="e">
        <f>+#REF!+#REF!</f>
        <v>#REF!</v>
      </c>
    </row>
    <row r="57" spans="1:24" s="364" customFormat="1" x14ac:dyDescent="0.35">
      <c r="A57" s="1051" t="s">
        <v>269</v>
      </c>
      <c r="B57" s="1051" t="s">
        <v>269</v>
      </c>
      <c r="C57" s="1051" t="s">
        <v>846</v>
      </c>
      <c r="D57" s="1051" t="s">
        <v>846</v>
      </c>
      <c r="E57" s="1127" t="s">
        <v>846</v>
      </c>
      <c r="F57" s="1127" t="s">
        <v>846</v>
      </c>
      <c r="G57" s="1127"/>
      <c r="H57" s="1127"/>
      <c r="I57" s="1053">
        <f t="shared" si="6"/>
        <v>112319861.2614553</v>
      </c>
      <c r="J57" s="1053">
        <v>11265078.969000001</v>
      </c>
      <c r="K57" s="1053">
        <v>10506909.85668</v>
      </c>
      <c r="L57" s="1053">
        <v>9809843.4300399981</v>
      </c>
      <c r="M57" s="1053">
        <v>10130068.14136</v>
      </c>
      <c r="N57" s="1053">
        <f>('Tariff Rand Values 2024-25 Actu'!N57*'MSCOA - Tariff Structure'!$S$2)+'Tariff Rand Values 2024-25 Actu'!N57</f>
        <v>10286331.04992</v>
      </c>
      <c r="O57" s="1053">
        <f>('Tariff Rand Values 2024-25 Actu'!O57*'MSCOA - Tariff Structure'!$S$2)+'Tariff Rand Values 2024-25 Actu'!O57</f>
        <v>10517722.927760001</v>
      </c>
      <c r="P57" s="1053">
        <f>('Tariff Rand Values 2024-25 Actu'!P57*'MSCOA - Tariff Structure'!$S$2)+'Tariff Rand Values 2024-25 Actu'!P57</f>
        <v>10239344.500399999</v>
      </c>
      <c r="Q57" s="1053">
        <f>('Tariff Rand Values 2024-25 Actu'!Q57*'MSCOA - Tariff Structure'!$S$2)+'Tariff Rand Values 2024-25 Actu'!Q57</f>
        <v>10257158.810120001</v>
      </c>
      <c r="R57" s="1053">
        <f>('Tariff Rand Values 2024-25 Actu'!R57*'MSCOA - Tariff Structure'!$S$2)+'Tariff Rand Values 2024-25 Actu'!R57</f>
        <v>7227059.4287250647</v>
      </c>
      <c r="S57" s="1053">
        <f>('Tariff Rand Values 2024-25 Actu'!S57*'MSCOA - Tariff Structure'!$S$2)+'Tariff Rand Values 2024-25 Actu'!S57</f>
        <v>6971671.1371086482</v>
      </c>
      <c r="T57" s="1053">
        <f>('Tariff Rand Values 2024-25 Actu'!T57*'MSCOA - Tariff Structure'!$S$2)+'Tariff Rand Values 2024-25 Actu'!T57</f>
        <v>7334365.4336059121</v>
      </c>
      <c r="U57" s="1053">
        <f>('Tariff Rand Values 2024-25 Actu'!U57*'MSCOA - Tariff Structure'!$S$2)+'Tariff Rand Values 2024-25 Actu'!U57</f>
        <v>7774307.5767356548</v>
      </c>
      <c r="V57" s="1054">
        <f t="shared" si="7"/>
        <v>82773564.859039634</v>
      </c>
      <c r="W57" s="1054">
        <f t="shared" si="8"/>
        <v>29546296.402415656</v>
      </c>
    </row>
    <row r="58" spans="1:24" s="364" customFormat="1" x14ac:dyDescent="0.35">
      <c r="A58" s="1038" t="s">
        <v>337</v>
      </c>
      <c r="B58" s="1038" t="s">
        <v>330</v>
      </c>
      <c r="C58" s="1038" t="s">
        <v>841</v>
      </c>
      <c r="D58" s="1038" t="s">
        <v>844</v>
      </c>
      <c r="E58" s="1122" t="s">
        <v>841</v>
      </c>
      <c r="F58" s="1122" t="s">
        <v>844</v>
      </c>
      <c r="G58" s="1122"/>
      <c r="H58" s="1122"/>
      <c r="I58" s="1043">
        <f t="shared" si="6"/>
        <v>68923008.91724731</v>
      </c>
      <c r="J58" s="1036">
        <v>12148044.800959999</v>
      </c>
      <c r="K58" s="1036">
        <v>10009378.158040002</v>
      </c>
      <c r="L58" s="1036">
        <v>4582883.8399599995</v>
      </c>
      <c r="M58" s="1036">
        <v>4983950.5090800002</v>
      </c>
      <c r="N58" s="1036">
        <f>('Tariff Rand Values 2024-25 Actu'!N58*'MSCOA - Tariff Structure'!$S$2)+'Tariff Rand Values 2024-25 Actu'!N58</f>
        <v>4458230.1717999997</v>
      </c>
      <c r="O58" s="1036">
        <f>('Tariff Rand Values 2024-25 Actu'!O58*'MSCOA - Tariff Structure'!$S$2)+'Tariff Rand Values 2024-25 Actu'!O58</f>
        <v>4042381.5201600003</v>
      </c>
      <c r="P58" s="1036">
        <f>('Tariff Rand Values 2024-25 Actu'!P58*'MSCOA - Tariff Structure'!$S$2)+'Tariff Rand Values 2024-25 Actu'!P58</f>
        <v>5009966.0735599995</v>
      </c>
      <c r="Q58" s="1036">
        <f>('Tariff Rand Values 2024-25 Actu'!Q58*'MSCOA - Tariff Structure'!$S$2)+'Tariff Rand Values 2024-25 Actu'!Q58</f>
        <v>5007136.3023999995</v>
      </c>
      <c r="R58" s="1036">
        <f>('Tariff Rand Values 2024-25 Actu'!R58*'MSCOA - Tariff Structure'!$S$2)+'Tariff Rand Values 2024-25 Actu'!R58</f>
        <v>3817611.6234229868</v>
      </c>
      <c r="S58" s="1036">
        <f>('Tariff Rand Values 2024-25 Actu'!S58*'MSCOA - Tariff Structure'!$S$2)+'Tariff Rand Values 2024-25 Actu'!S58</f>
        <v>3304665.3939805492</v>
      </c>
      <c r="T58" s="1036">
        <f>('Tariff Rand Values 2024-25 Actu'!T58*'MSCOA - Tariff Structure'!$S$2)+'Tariff Rand Values 2024-25 Actu'!T58</f>
        <v>3776285.7973554195</v>
      </c>
      <c r="U58" s="1036">
        <f>('Tariff Rand Values 2024-25 Actu'!U58*'MSCOA - Tariff Structure'!$S$2)+'Tariff Rand Values 2024-25 Actu'!U58</f>
        <v>7782474.7265283531</v>
      </c>
      <c r="V58" s="1036">
        <f t="shared" si="7"/>
        <v>38983111.231718957</v>
      </c>
      <c r="W58" s="1036">
        <f t="shared" si="8"/>
        <v>29939897.685528353</v>
      </c>
    </row>
    <row r="59" spans="1:24" s="364" customFormat="1" x14ac:dyDescent="0.35">
      <c r="A59" s="1038" t="s">
        <v>339</v>
      </c>
      <c r="B59" s="1038" t="s">
        <v>332</v>
      </c>
      <c r="C59" s="1038" t="s">
        <v>840</v>
      </c>
      <c r="D59" s="1038" t="s">
        <v>843</v>
      </c>
      <c r="E59" s="1122" t="s">
        <v>840</v>
      </c>
      <c r="F59" s="1122" t="s">
        <v>843</v>
      </c>
      <c r="G59" s="1122"/>
      <c r="H59" s="1122"/>
      <c r="I59" s="1043">
        <f t="shared" si="6"/>
        <v>99548743.670031935</v>
      </c>
      <c r="J59" s="1036">
        <v>13919824.648120001</v>
      </c>
      <c r="K59" s="1036">
        <v>12120054.357239999</v>
      </c>
      <c r="L59" s="1036">
        <v>7341613.6702399999</v>
      </c>
      <c r="M59" s="1036">
        <v>7876943.5556000005</v>
      </c>
      <c r="N59" s="1036">
        <f>('Tariff Rand Values 2024-25 Actu'!N59*'MSCOA - Tariff Structure'!$S$2)+'Tariff Rand Values 2024-25 Actu'!N59</f>
        <v>7473619.7483599996</v>
      </c>
      <c r="O59" s="1036">
        <f>('Tariff Rand Values 2024-25 Actu'!O59*'MSCOA - Tariff Structure'!$S$2)+'Tariff Rand Values 2024-25 Actu'!O59</f>
        <v>6787074.07412</v>
      </c>
      <c r="P59" s="1036">
        <f>('Tariff Rand Values 2024-25 Actu'!P59*'MSCOA - Tariff Structure'!$S$2)+'Tariff Rand Values 2024-25 Actu'!P59</f>
        <v>8190647.9878799999</v>
      </c>
      <c r="Q59" s="1036">
        <f>('Tariff Rand Values 2024-25 Actu'!Q59*'MSCOA - Tariff Structure'!$S$2)+'Tariff Rand Values 2024-25 Actu'!Q59</f>
        <v>8188263.9951200001</v>
      </c>
      <c r="R59" s="1036">
        <f>('Tariff Rand Values 2024-25 Actu'!R59*'MSCOA - Tariff Structure'!$S$2)+'Tariff Rand Values 2024-25 Actu'!R59</f>
        <v>6475893.7582303882</v>
      </c>
      <c r="S59" s="1036">
        <f>('Tariff Rand Values 2024-25 Actu'!S59*'MSCOA - Tariff Structure'!$S$2)+'Tariff Rand Values 2024-25 Actu'!S59</f>
        <v>5569597.2164272526</v>
      </c>
      <c r="T59" s="1036">
        <f>('Tariff Rand Values 2024-25 Actu'!T59*'MSCOA - Tariff Structure'!$S$2)+'Tariff Rand Values 2024-25 Actu'!T59</f>
        <v>6054575.7620319063</v>
      </c>
      <c r="U59" s="1036">
        <f>('Tariff Rand Values 2024-25 Actu'!U59*'MSCOA - Tariff Structure'!$S$2)+'Tariff Rand Values 2024-25 Actu'!U59</f>
        <v>9550634.896662388</v>
      </c>
      <c r="V59" s="1036">
        <f t="shared" si="7"/>
        <v>63958229.768009551</v>
      </c>
      <c r="W59" s="1036">
        <f t="shared" si="8"/>
        <v>35590513.902022392</v>
      </c>
    </row>
    <row r="60" spans="1:24" s="364" customFormat="1" x14ac:dyDescent="0.35">
      <c r="A60" s="1038" t="s">
        <v>335</v>
      </c>
      <c r="B60" s="1038" t="s">
        <v>328</v>
      </c>
      <c r="C60" s="1038" t="s">
        <v>842</v>
      </c>
      <c r="D60" s="1038" t="s">
        <v>845</v>
      </c>
      <c r="E60" s="1122" t="s">
        <v>842</v>
      </c>
      <c r="F60" s="1122" t="s">
        <v>845</v>
      </c>
      <c r="G60" s="1122"/>
      <c r="H60" s="1122"/>
      <c r="I60" s="1043">
        <f t="shared" si="6"/>
        <v>83635255.505737484</v>
      </c>
      <c r="J60" s="1036">
        <v>10873967.714</v>
      </c>
      <c r="K60" s="1036">
        <v>10717367.582959998</v>
      </c>
      <c r="L60" s="1036">
        <v>6776160.1240400001</v>
      </c>
      <c r="M60" s="1036">
        <v>6325998.3375999993</v>
      </c>
      <c r="N60" s="1036">
        <f>('Tariff Rand Values 2024-25 Actu'!N60*'MSCOA - Tariff Structure'!$S$2)+'Tariff Rand Values 2024-25 Actu'!N60</f>
        <v>6342171.3038400002</v>
      </c>
      <c r="O60" s="1036">
        <f>('Tariff Rand Values 2024-25 Actu'!O60*'MSCOA - Tariff Structure'!$S$2)+'Tariff Rand Values 2024-25 Actu'!O60</f>
        <v>7284762.4808400003</v>
      </c>
      <c r="P60" s="1036">
        <f>('Tariff Rand Values 2024-25 Actu'!P60*'MSCOA - Tariff Structure'!$S$2)+'Tariff Rand Values 2024-25 Actu'!P60</f>
        <v>6842631.3933999995</v>
      </c>
      <c r="Q60" s="1036">
        <f>('Tariff Rand Values 2024-25 Actu'!Q60*'MSCOA - Tariff Structure'!$S$2)+'Tariff Rand Values 2024-25 Actu'!Q60</f>
        <v>6833342.98336</v>
      </c>
      <c r="R60" s="1036">
        <f>('Tariff Rand Values 2024-25 Actu'!R60*'MSCOA - Tariff Structure'!$S$2)+'Tariff Rand Values 2024-25 Actu'!R60</f>
        <v>4581682.7919847602</v>
      </c>
      <c r="S60" s="1036">
        <f>('Tariff Rand Values 2024-25 Actu'!S60*'MSCOA - Tariff Structure'!$S$2)+'Tariff Rand Values 2024-25 Actu'!S60</f>
        <v>4828483.0332209468</v>
      </c>
      <c r="T60" s="1036">
        <f>('Tariff Rand Values 2024-25 Actu'!T60*'MSCOA - Tariff Structure'!$S$2)+'Tariff Rand Values 2024-25 Actu'!T60</f>
        <v>4868849.0762375928</v>
      </c>
      <c r="U60" s="1036">
        <f>('Tariff Rand Values 2024-25 Actu'!U60*'MSCOA - Tariff Structure'!$S$2)+'Tariff Rand Values 2024-25 Actu'!U60</f>
        <v>7359838.6842542067</v>
      </c>
      <c r="V60" s="1036">
        <f t="shared" si="7"/>
        <v>54684081.524523303</v>
      </c>
      <c r="W60" s="1036">
        <f t="shared" si="8"/>
        <v>28951173.981214207</v>
      </c>
    </row>
    <row r="61" spans="1:24" s="364" customFormat="1" ht="15" thickBot="1" x14ac:dyDescent="0.4">
      <c r="A61" s="359" t="s">
        <v>270</v>
      </c>
      <c r="I61" s="1060">
        <f>SUM(I62:I66)</f>
        <v>85144547.214313895</v>
      </c>
      <c r="J61" s="1125"/>
      <c r="K61" s="1125"/>
      <c r="L61" s="1125"/>
      <c r="M61" s="1125"/>
      <c r="N61" s="1125"/>
      <c r="O61" s="1125"/>
      <c r="P61" s="1125"/>
      <c r="Q61" s="1125"/>
      <c r="R61" s="1125"/>
      <c r="S61" s="1125"/>
      <c r="T61" s="1125"/>
      <c r="U61" s="1125"/>
      <c r="V61" s="611">
        <f>+V60+V59+V58+V57+V56+V55</f>
        <v>297209908.1290946</v>
      </c>
      <c r="W61" s="611">
        <f t="shared" ref="W61" si="9">+W60+W59+W58+W57+W56+W55</f>
        <v>142719376.8092038</v>
      </c>
      <c r="X61" s="364">
        <f>+V61+W61</f>
        <v>439929284.9382984</v>
      </c>
    </row>
    <row r="62" spans="1:24" s="364" customFormat="1" ht="15" thickTop="1" x14ac:dyDescent="0.35">
      <c r="A62" s="1040" t="s">
        <v>520</v>
      </c>
      <c r="B62" s="1040" t="s">
        <v>520</v>
      </c>
      <c r="C62" s="1040" t="s">
        <v>519</v>
      </c>
      <c r="D62" s="1040" t="s">
        <v>519</v>
      </c>
      <c r="E62" s="1040" t="s">
        <v>519</v>
      </c>
      <c r="F62" s="1040" t="s">
        <v>519</v>
      </c>
      <c r="G62" s="1040"/>
      <c r="H62" s="1040"/>
      <c r="I62" s="1041">
        <f>SUM(J62:U62)</f>
        <v>1929748.3487705898</v>
      </c>
      <c r="J62" s="1041">
        <f>'Tariff SUMMARY 25-26'!$B$12*'Annexure A'!$R$103</f>
        <v>160812.36239754912</v>
      </c>
      <c r="K62" s="1041">
        <f>'Tariff SUMMARY 25-26'!$B$12*'Annexure A'!$R$103</f>
        <v>160812.36239754912</v>
      </c>
      <c r="L62" s="1041">
        <f>'Tariff SUMMARY 25-26'!$B$12*'Annexure A'!$R$103</f>
        <v>160812.36239754912</v>
      </c>
      <c r="M62" s="1041">
        <f>'Tariff SUMMARY 25-26'!$B$12*'Annexure A'!$R$103</f>
        <v>160812.36239754912</v>
      </c>
      <c r="N62" s="1041">
        <f>'Tariff SUMMARY 25-26'!$B$12*'Annexure A'!$R$103</f>
        <v>160812.36239754912</v>
      </c>
      <c r="O62" s="1041">
        <f>'Tariff SUMMARY 25-26'!$B$12*'Annexure A'!$R$103</f>
        <v>160812.36239754912</v>
      </c>
      <c r="P62" s="1041">
        <f>'Tariff SUMMARY 25-26'!$B$12*'Annexure A'!$R$103</f>
        <v>160812.36239754912</v>
      </c>
      <c r="Q62" s="1041">
        <f>'Tariff SUMMARY 25-26'!$B$12*'Annexure A'!$R$103</f>
        <v>160812.36239754912</v>
      </c>
      <c r="R62" s="1041">
        <f>'Tariff SUMMARY 25-26'!$B$12*'Annexure A'!$R$103</f>
        <v>160812.36239754912</v>
      </c>
      <c r="S62" s="1041">
        <f>'Tariff SUMMARY 25-26'!$B$12*'Annexure A'!$R$103</f>
        <v>160812.36239754912</v>
      </c>
      <c r="T62" s="1041">
        <f>'Tariff SUMMARY 25-26'!$B$12*'Annexure A'!$R$103</f>
        <v>160812.36239754912</v>
      </c>
      <c r="U62" s="1041">
        <f>'Tariff SUMMARY 25-26'!$B$12*'Annexure A'!$R$103</f>
        <v>160812.36239754912</v>
      </c>
      <c r="V62" s="1041">
        <f>SUM(L62:T62)</f>
        <v>1447311.2615779422</v>
      </c>
      <c r="W62" s="1041">
        <f>U62+J62+K62</f>
        <v>482437.08719264739</v>
      </c>
    </row>
    <row r="63" spans="1:24" s="364" customFormat="1" x14ac:dyDescent="0.35">
      <c r="A63" s="1051" t="s">
        <v>518</v>
      </c>
      <c r="B63" s="1051" t="s">
        <v>518</v>
      </c>
      <c r="C63" s="1051" t="s">
        <v>517</v>
      </c>
      <c r="D63" s="1051" t="s">
        <v>517</v>
      </c>
      <c r="E63" s="1127" t="s">
        <v>517</v>
      </c>
      <c r="F63" s="1127" t="s">
        <v>517</v>
      </c>
      <c r="G63" s="1127"/>
      <c r="H63" s="1127"/>
      <c r="I63" s="1053">
        <f>SUM(J63:U63)</f>
        <v>3261023.6933830925</v>
      </c>
      <c r="J63" s="1053">
        <v>400582.76464000007</v>
      </c>
      <c r="K63" s="1053">
        <v>354097.58656000003</v>
      </c>
      <c r="L63" s="1053">
        <v>294256.68079999997</v>
      </c>
      <c r="M63" s="1053">
        <v>278145.74812</v>
      </c>
      <c r="N63" s="1053">
        <f>('Tariff Rand Values 2024-25 Actu'!N63*'MSCOA - Tariff Structure'!$S$2)+'Tariff Rand Values 2024-25 Actu'!N63</f>
        <v>263224.49076000002</v>
      </c>
      <c r="O63" s="1053">
        <f>('Tariff Rand Values 2024-25 Actu'!O63*'MSCOA - Tariff Structure'!$S$2)+'Tariff Rand Values 2024-25 Actu'!O63</f>
        <v>236310.69292000003</v>
      </c>
      <c r="P63" s="1053">
        <f>('Tariff Rand Values 2024-25 Actu'!P63*'MSCOA - Tariff Structure'!$S$2)+'Tariff Rand Values 2024-25 Actu'!P63</f>
        <v>255376.00340000002</v>
      </c>
      <c r="Q63" s="1053">
        <f>('Tariff Rand Values 2024-25 Actu'!Q63*'MSCOA - Tariff Structure'!$S$2)+'Tariff Rand Values 2024-25 Actu'!Q63</f>
        <v>250779.68640000001</v>
      </c>
      <c r="R63" s="1053">
        <f>('Tariff Rand Values 2024-25 Actu'!R63*'MSCOA - Tariff Structure'!$S$2)+'Tariff Rand Values 2024-25 Actu'!R63</f>
        <v>191392.23771929828</v>
      </c>
      <c r="S63" s="1053">
        <f>('Tariff Rand Values 2024-25 Actu'!S63*'MSCOA - Tariff Structure'!$S$2)+'Tariff Rand Values 2024-25 Actu'!S63</f>
        <v>193466.56174212752</v>
      </c>
      <c r="T63" s="1053">
        <f>('Tariff Rand Values 2024-25 Actu'!T63*'MSCOA - Tariff Structure'!$S$2)+'Tariff Rand Values 2024-25 Actu'!T63</f>
        <v>245955.56270689963</v>
      </c>
      <c r="U63" s="1053">
        <f>('Tariff Rand Values 2024-25 Actu'!U63*'MSCOA - Tariff Structure'!$S$2)+'Tariff Rand Values 2024-25 Actu'!U63</f>
        <v>297435.6776147667</v>
      </c>
      <c r="V63" s="1054">
        <f>SUM(L63:T63)</f>
        <v>2208907.664568326</v>
      </c>
      <c r="W63" s="1054">
        <f>U63+J63+K63</f>
        <v>1052116.0288147668</v>
      </c>
    </row>
    <row r="64" spans="1:24" s="364" customFormat="1" x14ac:dyDescent="0.35">
      <c r="A64" s="1038" t="s">
        <v>498</v>
      </c>
      <c r="B64" s="1038" t="s">
        <v>503</v>
      </c>
      <c r="C64" s="1038" t="s">
        <v>497</v>
      </c>
      <c r="D64" s="1038" t="s">
        <v>502</v>
      </c>
      <c r="E64" s="1122" t="s">
        <v>497</v>
      </c>
      <c r="F64" s="1122" t="s">
        <v>502</v>
      </c>
      <c r="G64" s="1122"/>
      <c r="H64" s="1122"/>
      <c r="I64" s="1043">
        <f>SUM(J64:U64)</f>
        <v>20224787.907826681</v>
      </c>
      <c r="J64" s="1036">
        <v>3623274.8646</v>
      </c>
      <c r="K64" s="1036">
        <v>2844849.9909200002</v>
      </c>
      <c r="L64" s="1036">
        <v>1495569.3348000003</v>
      </c>
      <c r="M64" s="1036">
        <v>1509613.0291600002</v>
      </c>
      <c r="N64" s="1036">
        <f>('Tariff Rand Values 2024-25 Actu'!N64*'MSCOA - Tariff Structure'!$S$2)+'Tariff Rand Values 2024-25 Actu'!N64</f>
        <v>1239934.4067599999</v>
      </c>
      <c r="O64" s="1036">
        <f>('Tariff Rand Values 2024-25 Actu'!O64*'MSCOA - Tariff Structure'!$S$2)+'Tariff Rand Values 2024-25 Actu'!O64</f>
        <v>874302.54576000012</v>
      </c>
      <c r="P64" s="1036">
        <f>('Tariff Rand Values 2024-25 Actu'!P64*'MSCOA - Tariff Structure'!$S$2)+'Tariff Rand Values 2024-25 Actu'!P64</f>
        <v>1188621.8959600001</v>
      </c>
      <c r="Q64" s="1036">
        <f>('Tariff Rand Values 2024-25 Actu'!Q64*'MSCOA - Tariff Structure'!$S$2)+'Tariff Rand Values 2024-25 Actu'!Q64</f>
        <v>1168835.65188</v>
      </c>
      <c r="R64" s="1036">
        <f>('Tariff Rand Values 2024-25 Actu'!R64*'MSCOA - Tariff Structure'!$S$2)+'Tariff Rand Values 2024-25 Actu'!R64</f>
        <v>1222556.1140830526</v>
      </c>
      <c r="S64" s="1036">
        <f>('Tariff Rand Values 2024-25 Actu'!S64*'MSCOA - Tariff Structure'!$S$2)+'Tariff Rand Values 2024-25 Actu'!S64</f>
        <v>1108520.6558015556</v>
      </c>
      <c r="T64" s="1036">
        <f>('Tariff Rand Values 2024-25 Actu'!T64*'MSCOA - Tariff Structure'!$S$2)+'Tariff Rand Values 2024-25 Actu'!T64</f>
        <v>1506845.8516112005</v>
      </c>
      <c r="U64" s="1036">
        <f>('Tariff Rand Values 2024-25 Actu'!U64*'MSCOA - Tariff Structure'!$S$2)+'Tariff Rand Values 2024-25 Actu'!U64</f>
        <v>2441863.5664908732</v>
      </c>
      <c r="V64" s="1036">
        <f>SUM(L64:T64)</f>
        <v>11314799.48581581</v>
      </c>
      <c r="W64" s="1036">
        <f>U64+J64+K64</f>
        <v>8909988.4220108725</v>
      </c>
    </row>
    <row r="65" spans="1:24" s="364" customFormat="1" x14ac:dyDescent="0.35">
      <c r="A65" s="1038" t="s">
        <v>496</v>
      </c>
      <c r="B65" s="1038" t="s">
        <v>501</v>
      </c>
      <c r="C65" s="1038" t="s">
        <v>495</v>
      </c>
      <c r="D65" s="1038" t="s">
        <v>500</v>
      </c>
      <c r="E65" s="1122" t="s">
        <v>495</v>
      </c>
      <c r="F65" s="1122" t="s">
        <v>500</v>
      </c>
      <c r="G65" s="1122"/>
      <c r="H65" s="1122"/>
      <c r="I65" s="1043">
        <f>SUM(J65:U65)</f>
        <v>30769389.719025537</v>
      </c>
      <c r="J65" s="1036">
        <v>4720318.3772399994</v>
      </c>
      <c r="K65" s="1036">
        <v>3849680.0490000001</v>
      </c>
      <c r="L65" s="1036">
        <v>2361204.7502800003</v>
      </c>
      <c r="M65" s="1036">
        <v>2265063.9498000001</v>
      </c>
      <c r="N65" s="1036">
        <f>('Tariff Rand Values 2024-25 Actu'!N65*'MSCOA - Tariff Structure'!$S$2)+'Tariff Rand Values 2024-25 Actu'!N65</f>
        <v>2052319.1307999999</v>
      </c>
      <c r="O65" s="1036">
        <f>('Tariff Rand Values 2024-25 Actu'!O65*'MSCOA - Tariff Structure'!$S$2)+'Tariff Rand Values 2024-25 Actu'!O65</f>
        <v>1541607.4756</v>
      </c>
      <c r="P65" s="1036">
        <f>('Tariff Rand Values 2024-25 Actu'!P65*'MSCOA - Tariff Structure'!$S$2)+'Tariff Rand Values 2024-25 Actu'!P65</f>
        <v>1905828.59296</v>
      </c>
      <c r="Q65" s="1036">
        <f>('Tariff Rand Values 2024-25 Actu'!Q65*'MSCOA - Tariff Structure'!$S$2)+'Tariff Rand Values 2024-25 Actu'!Q65</f>
        <v>1881506.8177999998</v>
      </c>
      <c r="R65" s="1036">
        <f>('Tariff Rand Values 2024-25 Actu'!R65*'MSCOA - Tariff Structure'!$S$2)+'Tariff Rand Values 2024-25 Actu'!R65</f>
        <v>2149762.7580371755</v>
      </c>
      <c r="S65" s="1036">
        <f>('Tariff Rand Values 2024-25 Actu'!S65*'MSCOA - Tariff Structure'!$S$2)+'Tariff Rand Values 2024-25 Actu'!S65</f>
        <v>1905779.1951974921</v>
      </c>
      <c r="T65" s="1036">
        <f>('Tariff Rand Values 2024-25 Actu'!T65*'MSCOA - Tariff Structure'!$S$2)+'Tariff Rand Values 2024-25 Actu'!T65</f>
        <v>2482487.7178492844</v>
      </c>
      <c r="U65" s="1036">
        <f>('Tariff Rand Values 2024-25 Actu'!U65*'MSCOA - Tariff Structure'!$S$2)+'Tariff Rand Values 2024-25 Actu'!U65</f>
        <v>3653830.9044615841</v>
      </c>
      <c r="V65" s="1036">
        <f>SUM(L65:T65)</f>
        <v>18545560.388323955</v>
      </c>
      <c r="W65" s="1036">
        <f>U65+J65+K65</f>
        <v>12223829.330701584</v>
      </c>
    </row>
    <row r="66" spans="1:24" s="364" customFormat="1" x14ac:dyDescent="0.35">
      <c r="A66" s="1038" t="s">
        <v>492</v>
      </c>
      <c r="B66" s="1038" t="s">
        <v>494</v>
      </c>
      <c r="C66" s="1038" t="s">
        <v>499</v>
      </c>
      <c r="D66" s="1038" t="s">
        <v>493</v>
      </c>
      <c r="E66" s="1122" t="s">
        <v>499</v>
      </c>
      <c r="F66" s="1122" t="s">
        <v>493</v>
      </c>
      <c r="G66" s="1122"/>
      <c r="H66" s="1122"/>
      <c r="I66" s="1043">
        <f>SUM(J66:U66)</f>
        <v>28959597.545307986</v>
      </c>
      <c r="J66" s="1036">
        <v>4110610.0735999998</v>
      </c>
      <c r="K66" s="1036">
        <v>3795765.6580400001</v>
      </c>
      <c r="L66" s="1036">
        <v>2278262.8120399998</v>
      </c>
      <c r="M66" s="1036">
        <v>1951489.9914399998</v>
      </c>
      <c r="N66" s="1036">
        <f>('Tariff Rand Values 2024-25 Actu'!N66*'MSCOA - Tariff Structure'!$S$2)+'Tariff Rand Values 2024-25 Actu'!N66</f>
        <v>1992196.43824</v>
      </c>
      <c r="O66" s="1036">
        <f>('Tariff Rand Values 2024-25 Actu'!O66*'MSCOA - Tariff Structure'!$S$2)+'Tariff Rand Values 2024-25 Actu'!O66</f>
        <v>2099050.0827199998</v>
      </c>
      <c r="P66" s="1036">
        <f>('Tariff Rand Values 2024-25 Actu'!P66*'MSCOA - Tariff Structure'!$S$2)+'Tariff Rand Values 2024-25 Actu'!P66</f>
        <v>2123978.59308</v>
      </c>
      <c r="Q66" s="1036">
        <f>('Tariff Rand Values 2024-25 Actu'!Q66*'MSCOA - Tariff Structure'!$S$2)+'Tariff Rand Values 2024-25 Actu'!Q66</f>
        <v>2089798.9445199999</v>
      </c>
      <c r="R66" s="1036">
        <f>('Tariff Rand Values 2024-25 Actu'!R66*'MSCOA - Tariff Structure'!$S$2)+'Tariff Rand Values 2024-25 Actu'!R66</f>
        <v>1645932.7752138849</v>
      </c>
      <c r="S66" s="1036">
        <f>('Tariff Rand Values 2024-25 Actu'!S66*'MSCOA - Tariff Structure'!$S$2)+'Tariff Rand Values 2024-25 Actu'!S66</f>
        <v>1752464.4585683274</v>
      </c>
      <c r="T66" s="1036">
        <f>('Tariff Rand Values 2024-25 Actu'!T66*'MSCOA - Tariff Structure'!$S$2)+'Tariff Rand Values 2024-25 Actu'!T66</f>
        <v>2037397.507670416</v>
      </c>
      <c r="U66" s="1036">
        <f>('Tariff Rand Values 2024-25 Actu'!U66*'MSCOA - Tariff Structure'!$S$2)+'Tariff Rand Values 2024-25 Actu'!U66</f>
        <v>3082650.2101753568</v>
      </c>
      <c r="V66" s="1036">
        <f>SUM(L66:T66)</f>
        <v>17970571.603492625</v>
      </c>
      <c r="W66" s="1036">
        <f>U66+J66+K66</f>
        <v>10989025.941815358</v>
      </c>
    </row>
    <row r="67" spans="1:24" s="364" customFormat="1" ht="15" thickBot="1" x14ac:dyDescent="0.4">
      <c r="A67" s="359" t="s">
        <v>271</v>
      </c>
      <c r="I67" s="1060">
        <f>SUM(I68:I72)</f>
        <v>115107410.49811217</v>
      </c>
      <c r="J67" s="1125"/>
      <c r="K67" s="1125"/>
      <c r="L67" s="1125"/>
      <c r="M67" s="1125"/>
      <c r="N67" s="1125"/>
      <c r="O67" s="1125"/>
      <c r="P67" s="1125"/>
      <c r="Q67" s="1125"/>
      <c r="R67" s="1125"/>
      <c r="S67" s="1125"/>
      <c r="T67" s="1125"/>
      <c r="U67" s="1125"/>
      <c r="V67" s="611">
        <f>+V66+V65+V64+V63+V62</f>
        <v>51487150.403778657</v>
      </c>
      <c r="W67" s="611">
        <f>+W66+W65+W64+W63+W62</f>
        <v>33657396.81053523</v>
      </c>
      <c r="X67" s="364">
        <f>+V67+W67</f>
        <v>85144547.214313895</v>
      </c>
    </row>
    <row r="68" spans="1:24" s="364" customFormat="1" ht="15" thickTop="1" x14ac:dyDescent="0.35">
      <c r="A68" s="1040" t="s">
        <v>342</v>
      </c>
      <c r="B68" s="1040" t="s">
        <v>342</v>
      </c>
      <c r="C68" s="1040" t="s">
        <v>1062</v>
      </c>
      <c r="D68" s="1040" t="s">
        <v>1387</v>
      </c>
      <c r="E68" s="1040" t="s">
        <v>1062</v>
      </c>
      <c r="F68" s="1040" t="s">
        <v>1062</v>
      </c>
      <c r="G68" s="1040"/>
      <c r="H68" s="1040"/>
      <c r="I68" s="1041">
        <f>SUM(J68:U68)</f>
        <v>10776567.445887856</v>
      </c>
      <c r="J68" s="1041">
        <f>'Tariff SUMMARY 25-26'!$B$13*'Annexure A'!$R$112</f>
        <v>898047.28715732135</v>
      </c>
      <c r="K68" s="1041">
        <f>'Tariff SUMMARY 25-26'!$B$13*'Annexure A'!$R$112</f>
        <v>898047.28715732135</v>
      </c>
      <c r="L68" s="1041">
        <f>'Tariff SUMMARY 25-26'!$B$13*'Annexure A'!$R$112</f>
        <v>898047.28715732135</v>
      </c>
      <c r="M68" s="1041">
        <f>'Tariff SUMMARY 25-26'!$B$13*'Annexure A'!$R$112</f>
        <v>898047.28715732135</v>
      </c>
      <c r="N68" s="1041">
        <f>'Tariff SUMMARY 25-26'!$B$13*'Annexure A'!$R$112</f>
        <v>898047.28715732135</v>
      </c>
      <c r="O68" s="1041">
        <f>'Tariff SUMMARY 25-26'!$B$13*'Annexure A'!$R$112</f>
        <v>898047.28715732135</v>
      </c>
      <c r="P68" s="1041">
        <f>'Tariff SUMMARY 25-26'!$B$13*'Annexure A'!$R$112</f>
        <v>898047.28715732135</v>
      </c>
      <c r="Q68" s="1041">
        <f>'Tariff SUMMARY 25-26'!$B$13*'Annexure A'!$R$112</f>
        <v>898047.28715732135</v>
      </c>
      <c r="R68" s="1041">
        <f>'Tariff SUMMARY 25-26'!$B$13*'Annexure A'!$R$112</f>
        <v>898047.28715732135</v>
      </c>
      <c r="S68" s="1041">
        <f>'Tariff SUMMARY 25-26'!$B$13*'Annexure A'!$R$112</f>
        <v>898047.28715732135</v>
      </c>
      <c r="T68" s="1041">
        <f>'Tariff SUMMARY 25-26'!$B$13*'Annexure A'!$R$112</f>
        <v>898047.28715732135</v>
      </c>
      <c r="U68" s="1041">
        <f>'Tariff SUMMARY 25-26'!$B$13*'Annexure A'!$R$112</f>
        <v>898047.28715732135</v>
      </c>
      <c r="V68" s="1041">
        <f>SUM(L68:T68)</f>
        <v>8082425.5844158921</v>
      </c>
      <c r="W68" s="1041">
        <f>U68+J68+K68</f>
        <v>2694141.861471964</v>
      </c>
    </row>
    <row r="69" spans="1:24" s="364" customFormat="1" x14ac:dyDescent="0.35">
      <c r="A69" s="1051" t="s">
        <v>272</v>
      </c>
      <c r="B69" s="1051" t="s">
        <v>272</v>
      </c>
      <c r="C69" s="1051" t="s">
        <v>1063</v>
      </c>
      <c r="D69" s="1051" t="s">
        <v>1063</v>
      </c>
      <c r="E69" s="1127" t="s">
        <v>1063</v>
      </c>
      <c r="F69" s="1127" t="s">
        <v>1063</v>
      </c>
      <c r="G69" s="1127"/>
      <c r="H69" s="1127"/>
      <c r="I69" s="1053">
        <f>SUM(J69:U69)</f>
        <v>3424181.2123112036</v>
      </c>
      <c r="J69" s="1053">
        <v>429781.84555999999</v>
      </c>
      <c r="K69" s="1053">
        <v>421114.76024000003</v>
      </c>
      <c r="L69" s="1053">
        <v>330136.31192000001</v>
      </c>
      <c r="M69" s="1053">
        <v>322752.4412</v>
      </c>
      <c r="N69" s="1053">
        <f>('Tariff Rand Values 2024-25 Actu'!N69*'MSCOA - Tariff Structure'!$S$2)+'Tariff Rand Values 2024-25 Actu'!N69</f>
        <v>276989.44435999996</v>
      </c>
      <c r="O69" s="1053">
        <f>('Tariff Rand Values 2024-25 Actu'!O69*'MSCOA - Tariff Structure'!$S$2)+'Tariff Rand Values 2024-25 Actu'!O69</f>
        <v>215783.40687999999</v>
      </c>
      <c r="P69" s="1053">
        <f>('Tariff Rand Values 2024-25 Actu'!P69*'MSCOA - Tariff Structure'!$S$2)+'Tariff Rand Values 2024-25 Actu'!P69</f>
        <v>261940.69168000002</v>
      </c>
      <c r="Q69" s="1053">
        <f>('Tariff Rand Values 2024-25 Actu'!Q69*'MSCOA - Tariff Structure'!$S$2)+'Tariff Rand Values 2024-25 Actu'!Q69</f>
        <v>261858.06644</v>
      </c>
      <c r="R69" s="1053">
        <f>('Tariff Rand Values 2024-25 Actu'!R69*'MSCOA - Tariff Structure'!$S$2)+'Tariff Rand Values 2024-25 Actu'!R69</f>
        <v>189109.74961873167</v>
      </c>
      <c r="S69" s="1053">
        <f>('Tariff Rand Values 2024-25 Actu'!S69*'MSCOA - Tariff Structure'!$S$2)+'Tariff Rand Values 2024-25 Actu'!S69</f>
        <v>194398.25756371065</v>
      </c>
      <c r="T69" s="1053">
        <f>('Tariff Rand Values 2024-25 Actu'!T69*'MSCOA - Tariff Structure'!$S$2)+'Tariff Rand Values 2024-25 Actu'!T69</f>
        <v>247939.84144804973</v>
      </c>
      <c r="U69" s="1053">
        <f>('Tariff Rand Values 2024-25 Actu'!U69*'MSCOA - Tariff Structure'!$S$2)+'Tariff Rand Values 2024-25 Actu'!U69</f>
        <v>272376.39540071134</v>
      </c>
      <c r="V69" s="1054">
        <f>SUM(L69:T69)</f>
        <v>2300908.2111104918</v>
      </c>
      <c r="W69" s="1054">
        <f>U69+J69+K69</f>
        <v>1123273.0012007114</v>
      </c>
    </row>
    <row r="70" spans="1:24" s="364" customFormat="1" x14ac:dyDescent="0.35">
      <c r="A70" s="1038" t="s">
        <v>349</v>
      </c>
      <c r="B70" s="1038" t="s">
        <v>345</v>
      </c>
      <c r="C70" s="1038" t="s">
        <v>878</v>
      </c>
      <c r="D70" s="1038" t="s">
        <v>881</v>
      </c>
      <c r="E70" s="1122" t="s">
        <v>878</v>
      </c>
      <c r="F70" s="1122" t="s">
        <v>881</v>
      </c>
      <c r="G70" s="1122"/>
      <c r="H70" s="1122"/>
      <c r="I70" s="1043">
        <f>SUM(J70:U70)</f>
        <v>24391316.624301296</v>
      </c>
      <c r="J70" s="1036">
        <v>4332610.76284</v>
      </c>
      <c r="K70" s="1036">
        <v>3475954.2640000004</v>
      </c>
      <c r="L70" s="1036">
        <v>1928871.5034</v>
      </c>
      <c r="M70" s="1036">
        <v>2029237.9481600001</v>
      </c>
      <c r="N70" s="1036">
        <f>('Tariff Rand Values 2024-25 Actu'!N70*'MSCOA - Tariff Structure'!$S$2)+'Tariff Rand Values 2024-25 Actu'!N70</f>
        <v>1556521.1234800003</v>
      </c>
      <c r="O70" s="1036">
        <f>('Tariff Rand Values 2024-25 Actu'!O70*'MSCOA - Tariff Structure'!$S$2)+'Tariff Rand Values 2024-25 Actu'!O70</f>
        <v>1114485.3400000001</v>
      </c>
      <c r="P70" s="1036">
        <f>('Tariff Rand Values 2024-25 Actu'!P70*'MSCOA - Tariff Structure'!$S$2)+'Tariff Rand Values 2024-25 Actu'!P70</f>
        <v>1431725.4154400001</v>
      </c>
      <c r="Q70" s="1036">
        <f>('Tariff Rand Values 2024-25 Actu'!Q70*'MSCOA - Tariff Structure'!$S$2)+'Tariff Rand Values 2024-25 Actu'!Q70</f>
        <v>1426338.0160000001</v>
      </c>
      <c r="R70" s="1036">
        <f>('Tariff Rand Values 2024-25 Actu'!R70*'MSCOA - Tariff Structure'!$S$2)+'Tariff Rand Values 2024-25 Actu'!R70</f>
        <v>1289690.2060256368</v>
      </c>
      <c r="S70" s="1036">
        <f>('Tariff Rand Values 2024-25 Actu'!S70*'MSCOA - Tariff Structure'!$S$2)+'Tariff Rand Values 2024-25 Actu'!S70</f>
        <v>1191382.3773394192</v>
      </c>
      <c r="T70" s="1036">
        <f>('Tariff Rand Values 2024-25 Actu'!T70*'MSCOA - Tariff Structure'!$S$2)+'Tariff Rand Values 2024-25 Actu'!T70</f>
        <v>1735535.3200001225</v>
      </c>
      <c r="U70" s="1036">
        <f>('Tariff Rand Values 2024-25 Actu'!U70*'MSCOA - Tariff Structure'!$S$2)+'Tariff Rand Values 2024-25 Actu'!U70</f>
        <v>2878964.3476161137</v>
      </c>
      <c r="V70" s="1036">
        <f>SUM(L70:T70)</f>
        <v>13703787.249845181</v>
      </c>
      <c r="W70" s="1036">
        <f>U70+J70+K70</f>
        <v>10687529.374456115</v>
      </c>
    </row>
    <row r="71" spans="1:24" s="364" customFormat="1" x14ac:dyDescent="0.35">
      <c r="A71" s="1038" t="s">
        <v>353</v>
      </c>
      <c r="B71" s="1038" t="s">
        <v>273</v>
      </c>
      <c r="C71" s="1038" t="s">
        <v>877</v>
      </c>
      <c r="D71" s="1038" t="s">
        <v>880</v>
      </c>
      <c r="E71" s="1122" t="s">
        <v>877</v>
      </c>
      <c r="F71" s="1122" t="s">
        <v>880</v>
      </c>
      <c r="G71" s="1122"/>
      <c r="H71" s="1122"/>
      <c r="I71" s="1043">
        <f>SUM(J71:U71)</f>
        <v>42510288.995759793</v>
      </c>
      <c r="J71" s="1036">
        <v>7082950.6637199996</v>
      </c>
      <c r="K71" s="1036">
        <v>6023169.7855199995</v>
      </c>
      <c r="L71" s="1036">
        <v>3418201.6266000005</v>
      </c>
      <c r="M71" s="1036">
        <v>3396705.5986799998</v>
      </c>
      <c r="N71" s="1036">
        <f>('Tariff Rand Values 2024-25 Actu'!N71*'MSCOA - Tariff Structure'!$S$2)+'Tariff Rand Values 2024-25 Actu'!N71</f>
        <v>2829475.3344399994</v>
      </c>
      <c r="O71" s="1036">
        <f>('Tariff Rand Values 2024-25 Actu'!O71*'MSCOA - Tariff Structure'!$S$2)+'Tariff Rand Values 2024-25 Actu'!O71</f>
        <v>2130105.14616</v>
      </c>
      <c r="P71" s="1036">
        <f>('Tariff Rand Values 2024-25 Actu'!P71*'MSCOA - Tariff Structure'!$S$2)+'Tariff Rand Values 2024-25 Actu'!P71</f>
        <v>2611896.0228400002</v>
      </c>
      <c r="Q71" s="1036">
        <f>('Tariff Rand Values 2024-25 Actu'!Q71*'MSCOA - Tariff Structure'!$S$2)+'Tariff Rand Values 2024-25 Actu'!Q71</f>
        <v>2600975.4411599999</v>
      </c>
      <c r="R71" s="1036">
        <f>('Tariff Rand Values 2024-25 Actu'!R71*'MSCOA - Tariff Structure'!$S$2)+'Tariff Rand Values 2024-25 Actu'!R71</f>
        <v>2293119.981248172</v>
      </c>
      <c r="S71" s="1036">
        <f>('Tariff Rand Values 2024-25 Actu'!S71*'MSCOA - Tariff Structure'!$S$2)+'Tariff Rand Values 2024-25 Actu'!S71</f>
        <v>2079693.9885935253</v>
      </c>
      <c r="T71" s="1036">
        <f>('Tariff Rand Values 2024-25 Actu'!T71*'MSCOA - Tariff Structure'!$S$2)+'Tariff Rand Values 2024-25 Actu'!T71</f>
        <v>2984495.175877722</v>
      </c>
      <c r="U71" s="1036">
        <f>('Tariff Rand Values 2024-25 Actu'!U71*'MSCOA - Tariff Structure'!$S$2)+'Tariff Rand Values 2024-25 Actu'!U71</f>
        <v>5059500.2309203735</v>
      </c>
      <c r="V71" s="1036">
        <f>SUM(L71:T71)</f>
        <v>24344668.315599419</v>
      </c>
      <c r="W71" s="1036">
        <f>U71+J71+K71</f>
        <v>18165620.680160373</v>
      </c>
    </row>
    <row r="72" spans="1:24" s="364" customFormat="1" x14ac:dyDescent="0.35">
      <c r="A72" s="1038" t="s">
        <v>351</v>
      </c>
      <c r="B72" s="1038" t="s">
        <v>274</v>
      </c>
      <c r="C72" s="1038" t="s">
        <v>879</v>
      </c>
      <c r="D72" s="1038" t="s">
        <v>882</v>
      </c>
      <c r="E72" s="1122" t="s">
        <v>879</v>
      </c>
      <c r="F72" s="1122" t="s">
        <v>882</v>
      </c>
      <c r="G72" s="1122"/>
      <c r="H72" s="1122"/>
      <c r="I72" s="1043">
        <f>SUM(J72:U72)</f>
        <v>34005056.219852038</v>
      </c>
      <c r="J72" s="1036">
        <v>5015882.6409600005</v>
      </c>
      <c r="K72" s="1036">
        <v>4678987.88564</v>
      </c>
      <c r="L72" s="1036">
        <v>2988061.98936</v>
      </c>
      <c r="M72" s="1036">
        <v>2541977.7040000004</v>
      </c>
      <c r="N72" s="1036">
        <f>('Tariff Rand Values 2024-25 Actu'!N72*'MSCOA - Tariff Structure'!$S$2)+'Tariff Rand Values 2024-25 Actu'!N72</f>
        <v>2357733.9956399999</v>
      </c>
      <c r="O72" s="1036">
        <f>('Tariff Rand Values 2024-25 Actu'!O72*'MSCOA - Tariff Structure'!$S$2)+'Tariff Rand Values 2024-25 Actu'!O72</f>
        <v>2314378.6967199999</v>
      </c>
      <c r="P72" s="1036">
        <f>('Tariff Rand Values 2024-25 Actu'!P72*'MSCOA - Tariff Structure'!$S$2)+'Tariff Rand Values 2024-25 Actu'!P72</f>
        <v>2276419.4632799998</v>
      </c>
      <c r="Q72" s="1036">
        <f>('Tariff Rand Values 2024-25 Actu'!Q72*'MSCOA - Tariff Structure'!$S$2)+'Tariff Rand Values 2024-25 Actu'!Q72</f>
        <v>2268414.6050399998</v>
      </c>
      <c r="R72" s="1036">
        <f>('Tariff Rand Values 2024-25 Actu'!R72*'MSCOA - Tariff Structure'!$S$2)+'Tariff Rand Values 2024-25 Actu'!R72</f>
        <v>1711788.8368351588</v>
      </c>
      <c r="S72" s="1036">
        <f>('Tariff Rand Values 2024-25 Actu'!S72*'MSCOA - Tariff Structure'!$S$2)+'Tariff Rand Values 2024-25 Actu'!S72</f>
        <v>1879417.8120736361</v>
      </c>
      <c r="T72" s="1036">
        <f>('Tariff Rand Values 2024-25 Actu'!T72*'MSCOA - Tariff Structure'!$S$2)+'Tariff Rand Values 2024-25 Actu'!T72</f>
        <v>2394485.5365710892</v>
      </c>
      <c r="U72" s="1036">
        <f>('Tariff Rand Values 2024-25 Actu'!U72*'MSCOA - Tariff Structure'!$S$2)+'Tariff Rand Values 2024-25 Actu'!U72</f>
        <v>3577507.0537321558</v>
      </c>
      <c r="V72" s="1036">
        <f>SUM(L72:T72)</f>
        <v>20732678.639519885</v>
      </c>
      <c r="W72" s="1036">
        <f>U72+J72+K72</f>
        <v>13272377.580332156</v>
      </c>
    </row>
    <row r="73" spans="1:24" s="364" customFormat="1" ht="15" thickBot="1" x14ac:dyDescent="0.4">
      <c r="A73" s="359" t="s">
        <v>547</v>
      </c>
      <c r="I73" s="1060">
        <f>SUM(I74:I76)</f>
        <v>8110085.3501435472</v>
      </c>
      <c r="J73" s="1125"/>
      <c r="K73" s="1125"/>
      <c r="L73" s="1125"/>
      <c r="M73" s="1125"/>
      <c r="N73" s="1125"/>
      <c r="O73" s="1125"/>
      <c r="P73" s="1125"/>
      <c r="Q73" s="1125"/>
      <c r="R73" s="1125"/>
      <c r="S73" s="1125"/>
      <c r="T73" s="1125"/>
      <c r="U73" s="1125"/>
      <c r="V73" s="611">
        <f>+V72+V71+V70+V69+V68</f>
        <v>69164468.000490874</v>
      </c>
      <c r="W73" s="611">
        <f>+W72+W71+W70+W69+W68</f>
        <v>45942942.49762132</v>
      </c>
      <c r="X73" s="364">
        <f>+V73+W73</f>
        <v>115107410.4981122</v>
      </c>
    </row>
    <row r="74" spans="1:24" s="364" customFormat="1" ht="15" thickTop="1" x14ac:dyDescent="0.35">
      <c r="A74" s="1038" t="s">
        <v>489</v>
      </c>
      <c r="B74" s="1038" t="s">
        <v>276</v>
      </c>
      <c r="C74" s="1038" t="s">
        <v>488</v>
      </c>
      <c r="D74" s="1038" t="s">
        <v>822</v>
      </c>
      <c r="E74" s="1122" t="s">
        <v>488</v>
      </c>
      <c r="F74" s="1122" t="s">
        <v>822</v>
      </c>
      <c r="G74" s="1122"/>
      <c r="H74" s="1122"/>
      <c r="I74" s="1043">
        <f>SUM(J74:U74)</f>
        <v>1920702.0626246335</v>
      </c>
      <c r="J74" s="1036">
        <v>273489.98275999998</v>
      </c>
      <c r="K74" s="1036">
        <v>209497.04347999999</v>
      </c>
      <c r="L74" s="1036">
        <v>108083.51404000001</v>
      </c>
      <c r="M74" s="1036">
        <v>168896.64608000001</v>
      </c>
      <c r="N74" s="1036">
        <f>('Tariff Rand Values 2024-25 Actu'!N74*'MSCOA - Tariff Structure'!$S$2)+'Tariff Rand Values 2024-25 Actu'!N74</f>
        <v>127346.45744</v>
      </c>
      <c r="O74" s="1036">
        <f>('Tariff Rand Values 2024-25 Actu'!O74*'MSCOA - Tariff Structure'!$S$2)+'Tariff Rand Values 2024-25 Actu'!O74</f>
        <v>103194.74348</v>
      </c>
      <c r="P74" s="1036">
        <f>('Tariff Rand Values 2024-25 Actu'!P74*'MSCOA - Tariff Structure'!$S$2)+'Tariff Rand Values 2024-25 Actu'!P74</f>
        <v>113872.9458</v>
      </c>
      <c r="Q74" s="1036">
        <f>('Tariff Rand Values 2024-25 Actu'!Q74*'MSCOA - Tariff Structure'!$S$2)+'Tariff Rand Values 2024-25 Actu'!Q74</f>
        <v>113845.2954</v>
      </c>
      <c r="R74" s="1036">
        <f>('Tariff Rand Values 2024-25 Actu'!R74*'MSCOA - Tariff Structure'!$S$2)+'Tariff Rand Values 2024-25 Actu'!R74</f>
        <v>153802.65613385927</v>
      </c>
      <c r="S74" s="1036">
        <f>('Tariff Rand Values 2024-25 Actu'!S74*'MSCOA - Tariff Structure'!$S$2)+'Tariff Rand Values 2024-25 Actu'!S74</f>
        <v>141063.28339644536</v>
      </c>
      <c r="T74" s="1036">
        <f>('Tariff Rand Values 2024-25 Actu'!T74*'MSCOA - Tariff Structure'!$S$2)+'Tariff Rand Values 2024-25 Actu'!T74</f>
        <v>145861.50972359377</v>
      </c>
      <c r="U74" s="1036">
        <f>('Tariff Rand Values 2024-25 Actu'!U74*'MSCOA - Tariff Structure'!$S$2)+'Tariff Rand Values 2024-25 Actu'!U74</f>
        <v>261747.98489073524</v>
      </c>
      <c r="V74" s="1036">
        <f>SUM(L74:T74)</f>
        <v>1175967.0514938985</v>
      </c>
      <c r="W74" s="1036">
        <f>U74+J74+K74</f>
        <v>744735.01113073528</v>
      </c>
    </row>
    <row r="75" spans="1:24" s="364" customFormat="1" x14ac:dyDescent="0.35">
      <c r="A75" s="1038" t="s">
        <v>487</v>
      </c>
      <c r="B75" s="1038" t="s">
        <v>277</v>
      </c>
      <c r="C75" s="1038" t="s">
        <v>486</v>
      </c>
      <c r="D75" s="1038" t="s">
        <v>821</v>
      </c>
      <c r="E75" s="1122" t="s">
        <v>486</v>
      </c>
      <c r="F75" s="1122" t="s">
        <v>821</v>
      </c>
      <c r="G75" s="1122"/>
      <c r="H75" s="1122"/>
      <c r="I75" s="1043">
        <f>SUM(J75:U75)</f>
        <v>2985536.071727959</v>
      </c>
      <c r="J75" s="1036">
        <v>409073.61800000002</v>
      </c>
      <c r="K75" s="1036">
        <v>317435.43787999998</v>
      </c>
      <c r="L75" s="1036">
        <v>184944.32003999999</v>
      </c>
      <c r="M75" s="1036">
        <v>251549.42408000003</v>
      </c>
      <c r="N75" s="1036">
        <f>('Tariff Rand Values 2024-25 Actu'!N75*'MSCOA - Tariff Structure'!$S$2)+'Tariff Rand Values 2024-25 Actu'!N75</f>
        <v>208850.95703999998</v>
      </c>
      <c r="O75" s="1036">
        <f>('Tariff Rand Values 2024-25 Actu'!O75*'MSCOA - Tariff Structure'!$S$2)+'Tariff Rand Values 2024-25 Actu'!O75</f>
        <v>172510.68824000002</v>
      </c>
      <c r="P75" s="1036">
        <f>('Tariff Rand Values 2024-25 Actu'!P75*'MSCOA - Tariff Structure'!$S$2)+'Tariff Rand Values 2024-25 Actu'!P75</f>
        <v>183649.89916</v>
      </c>
      <c r="Q75" s="1036">
        <f>('Tariff Rand Values 2024-25 Actu'!Q75*'MSCOA - Tariff Structure'!$S$2)+'Tariff Rand Values 2024-25 Actu'!Q75</f>
        <v>183616.17916</v>
      </c>
      <c r="R75" s="1036">
        <f>('Tariff Rand Values 2024-25 Actu'!R75*'MSCOA - Tariff Structure'!$S$2)+'Tariff Rand Values 2024-25 Actu'!R75</f>
        <v>255183.93209210457</v>
      </c>
      <c r="S75" s="1036">
        <f>('Tariff Rand Values 2024-25 Actu'!S75*'MSCOA - Tariff Structure'!$S$2)+'Tariff Rand Values 2024-25 Actu'!S75</f>
        <v>234797.83466256707</v>
      </c>
      <c r="T75" s="1036">
        <f>('Tariff Rand Values 2024-25 Actu'!T75*'MSCOA - Tariff Structure'!$S$2)+'Tariff Rand Values 2024-25 Actu'!T75</f>
        <v>231272.84078069378</v>
      </c>
      <c r="U75" s="1036">
        <f>('Tariff Rand Values 2024-25 Actu'!U75*'MSCOA - Tariff Structure'!$S$2)+'Tariff Rand Values 2024-25 Actu'!U75</f>
        <v>352650.94059259363</v>
      </c>
      <c r="V75" s="1036">
        <f>SUM(L75:T75)</f>
        <v>1906376.0752553656</v>
      </c>
      <c r="W75" s="1036">
        <f>U75+J75+K75</f>
        <v>1079159.9964725936</v>
      </c>
    </row>
    <row r="76" spans="1:24" s="364" customFormat="1" x14ac:dyDescent="0.35">
      <c r="A76" s="1038" t="s">
        <v>480</v>
      </c>
      <c r="B76" s="1038" t="s">
        <v>278</v>
      </c>
      <c r="C76" s="1038" t="s">
        <v>482</v>
      </c>
      <c r="D76" s="1038" t="s">
        <v>823</v>
      </c>
      <c r="E76" s="1122" t="s">
        <v>482</v>
      </c>
      <c r="F76" s="1122" t="s">
        <v>823</v>
      </c>
      <c r="G76" s="1122"/>
      <c r="H76" s="1122"/>
      <c r="I76" s="1043">
        <f>SUM(J76:U76)</f>
        <v>3203847.2157909544</v>
      </c>
      <c r="J76" s="1036">
        <v>405995.45408</v>
      </c>
      <c r="K76" s="1036">
        <v>332655.60055999999</v>
      </c>
      <c r="L76" s="1036">
        <v>221534.69008000003</v>
      </c>
      <c r="M76" s="1036">
        <v>235241.40924000001</v>
      </c>
      <c r="N76" s="1036">
        <f>('Tariff Rand Values 2024-25 Actu'!N76*'MSCOA - Tariff Structure'!$S$2)+'Tariff Rand Values 2024-25 Actu'!N76</f>
        <v>225833.14708000002</v>
      </c>
      <c r="O76" s="1036">
        <f>('Tariff Rand Values 2024-25 Actu'!O76*'MSCOA - Tariff Structure'!$S$2)+'Tariff Rand Values 2024-25 Actu'!O76</f>
        <v>236591.18712000002</v>
      </c>
      <c r="P76" s="1036">
        <f>('Tariff Rand Values 2024-25 Actu'!P76*'MSCOA - Tariff Structure'!$S$2)+'Tariff Rand Values 2024-25 Actu'!P76</f>
        <v>197275.08336000002</v>
      </c>
      <c r="Q76" s="1036">
        <f>('Tariff Rand Values 2024-25 Actu'!Q76*'MSCOA - Tariff Structure'!$S$2)+'Tariff Rand Values 2024-25 Actu'!Q76</f>
        <v>197239.14908</v>
      </c>
      <c r="R76" s="1036">
        <f>('Tariff Rand Values 2024-25 Actu'!R76*'MSCOA - Tariff Structure'!$S$2)+'Tariff Rand Values 2024-25 Actu'!R76</f>
        <v>279242.4415339831</v>
      </c>
      <c r="S76" s="1036">
        <f>('Tariff Rand Values 2024-25 Actu'!S76*'MSCOA - Tariff Structure'!$S$2)+'Tariff Rand Values 2024-25 Actu'!S76</f>
        <v>253722.66451564711</v>
      </c>
      <c r="T76" s="1036">
        <f>('Tariff Rand Values 2024-25 Actu'!T76*'MSCOA - Tariff Structure'!$S$2)+'Tariff Rand Values 2024-25 Actu'!T76</f>
        <v>226718.13735561178</v>
      </c>
      <c r="U76" s="1036">
        <f>('Tariff Rand Values 2024-25 Actu'!U76*'MSCOA - Tariff Structure'!$S$2)+'Tariff Rand Values 2024-25 Actu'!U76</f>
        <v>391798.25178571243</v>
      </c>
      <c r="V76" s="1036">
        <f>SUM(L76:T76)</f>
        <v>2073397.9093652419</v>
      </c>
      <c r="W76" s="1036">
        <f>U76+J76+K76</f>
        <v>1130449.3064257123</v>
      </c>
    </row>
    <row r="77" spans="1:24" s="364" customFormat="1" ht="15" thickBot="1" x14ac:dyDescent="0.4">
      <c r="A77" s="359" t="s">
        <v>1478</v>
      </c>
      <c r="I77" s="1060">
        <f>SUM(I78:I80)</f>
        <v>2261646.5637678262</v>
      </c>
      <c r="J77" s="1125"/>
      <c r="K77" s="1125"/>
      <c r="L77" s="1125"/>
      <c r="M77" s="1125"/>
      <c r="N77" s="1125"/>
      <c r="O77" s="1125"/>
      <c r="P77" s="1125"/>
      <c r="Q77" s="1125"/>
      <c r="R77" s="1125"/>
      <c r="S77" s="1125"/>
      <c r="T77" s="1125"/>
      <c r="U77" s="1125"/>
      <c r="V77" s="611">
        <f>+V76+V75+V74</f>
        <v>5155741.0361145064</v>
      </c>
      <c r="W77" s="611">
        <f>+W76+W75+W74</f>
        <v>2954344.3140290412</v>
      </c>
      <c r="X77" s="364">
        <f>+W77+V77</f>
        <v>8110085.3501435481</v>
      </c>
    </row>
    <row r="78" spans="1:24" s="364" customFormat="1" ht="15" thickTop="1" x14ac:dyDescent="0.35">
      <c r="A78" s="1038" t="s">
        <v>507</v>
      </c>
      <c r="B78" s="1038" t="s">
        <v>443</v>
      </c>
      <c r="C78" s="1038" t="s">
        <v>506</v>
      </c>
      <c r="D78" s="1038" t="s">
        <v>1053</v>
      </c>
      <c r="E78" s="1122" t="s">
        <v>506</v>
      </c>
      <c r="F78" s="1122" t="s">
        <v>1053</v>
      </c>
      <c r="G78" s="1122"/>
      <c r="H78" s="1122"/>
      <c r="I78" s="1043">
        <f>SUM(J78:U78)</f>
        <v>659754.67461734207</v>
      </c>
      <c r="J78" s="1036">
        <v>118247.47512</v>
      </c>
      <c r="K78" s="1036">
        <v>90161.019320000007</v>
      </c>
      <c r="L78" s="1036">
        <v>36136.07172</v>
      </c>
      <c r="M78" s="1036">
        <v>35505.5864</v>
      </c>
      <c r="N78" s="1036">
        <f>('Tariff Rand Values 2024-25 Actu'!N78*'MSCOA - Tariff Structure'!$S$2)+'Tariff Rand Values 2024-25 Actu'!N78</f>
        <v>29695.75404</v>
      </c>
      <c r="O78" s="1036">
        <f>('Tariff Rand Values 2024-25 Actu'!O78*'MSCOA - Tariff Structure'!$S$2)+'Tariff Rand Values 2024-25 Actu'!O78</f>
        <v>31317.438759999997</v>
      </c>
      <c r="P78" s="1036">
        <f>('Tariff Rand Values 2024-25 Actu'!P78*'MSCOA - Tariff Structure'!$S$2)+'Tariff Rand Values 2024-25 Actu'!P78</f>
        <v>35924.445</v>
      </c>
      <c r="Q78" s="1036">
        <f>('Tariff Rand Values 2024-25 Actu'!Q78*'MSCOA - Tariff Structure'!$S$2)+'Tariff Rand Values 2024-25 Actu'!Q78</f>
        <v>35013.85888</v>
      </c>
      <c r="R78" s="1036">
        <f>('Tariff Rand Values 2024-25 Actu'!R78*'MSCOA - Tariff Structure'!$S$2)+'Tariff Rand Values 2024-25 Actu'!R78</f>
        <v>41657.666087056059</v>
      </c>
      <c r="S78" s="1036">
        <f>('Tariff Rand Values 2024-25 Actu'!S78*'MSCOA - Tariff Structure'!$S$2)+'Tariff Rand Values 2024-25 Actu'!S78</f>
        <v>39832.666341167882</v>
      </c>
      <c r="T78" s="1036">
        <f>('Tariff Rand Values 2024-25 Actu'!T78*'MSCOA - Tariff Structure'!$S$2)+'Tariff Rand Values 2024-25 Actu'!T78</f>
        <v>52737.018141400767</v>
      </c>
      <c r="U78" s="1036">
        <f>('Tariff Rand Values 2024-25 Actu'!U78*'MSCOA - Tariff Structure'!$S$2)+'Tariff Rand Values 2024-25 Actu'!U78</f>
        <v>113525.67480771749</v>
      </c>
      <c r="V78" s="1036">
        <f>SUM(L78:T78)</f>
        <v>337820.50536962471</v>
      </c>
      <c r="W78" s="1036">
        <f>U78+J78+K78</f>
        <v>321934.16924771748</v>
      </c>
    </row>
    <row r="79" spans="1:24" s="364" customFormat="1" x14ac:dyDescent="0.35">
      <c r="A79" s="1038" t="s">
        <v>505</v>
      </c>
      <c r="B79" s="1038" t="s">
        <v>445</v>
      </c>
      <c r="C79" s="1038" t="s">
        <v>504</v>
      </c>
      <c r="D79" s="1038" t="s">
        <v>1052</v>
      </c>
      <c r="E79" s="1122" t="s">
        <v>504</v>
      </c>
      <c r="F79" s="1122" t="s">
        <v>1052</v>
      </c>
      <c r="G79" s="1122"/>
      <c r="H79" s="1122"/>
      <c r="I79" s="1043">
        <f>SUM(J79:U79)</f>
        <v>891719.49945440504</v>
      </c>
      <c r="J79" s="1036">
        <v>139604.70027999999</v>
      </c>
      <c r="K79" s="1036">
        <v>107117.99804000001</v>
      </c>
      <c r="L79" s="1036">
        <v>50538.17596</v>
      </c>
      <c r="M79" s="1036">
        <v>48641.560840000006</v>
      </c>
      <c r="N79" s="1036">
        <f>('Tariff Rand Values 2024-25 Actu'!N79*'MSCOA - Tariff Structure'!$S$2)+'Tariff Rand Values 2024-25 Actu'!N79</f>
        <v>45453.436000000002</v>
      </c>
      <c r="O79" s="1036">
        <f>('Tariff Rand Values 2024-25 Actu'!O79*'MSCOA - Tariff Structure'!$S$2)+'Tariff Rand Values 2024-25 Actu'!O79</f>
        <v>51026.565199999997</v>
      </c>
      <c r="P79" s="1036">
        <f>('Tariff Rand Values 2024-25 Actu'!P79*'MSCOA - Tariff Structure'!$S$2)+'Tariff Rand Values 2024-25 Actu'!P79</f>
        <v>57986.092199999999</v>
      </c>
      <c r="Q79" s="1036">
        <f>('Tariff Rand Values 2024-25 Actu'!Q79*'MSCOA - Tariff Structure'!$S$2)+'Tariff Rand Values 2024-25 Actu'!Q79</f>
        <v>56607.85463999999</v>
      </c>
      <c r="R79" s="1036">
        <f>('Tariff Rand Values 2024-25 Actu'!R79*'MSCOA - Tariff Structure'!$S$2)+'Tariff Rand Values 2024-25 Actu'!R79</f>
        <v>69918.244734740016</v>
      </c>
      <c r="S79" s="1036">
        <f>('Tariff Rand Values 2024-25 Actu'!S79*'MSCOA - Tariff Structure'!$S$2)+'Tariff Rand Values 2024-25 Actu'!S79</f>
        <v>59907.172175096151</v>
      </c>
      <c r="T79" s="1036">
        <f>('Tariff Rand Values 2024-25 Actu'!T79*'MSCOA - Tariff Structure'!$S$2)+'Tariff Rand Values 2024-25 Actu'!T79</f>
        <v>71005.301332125542</v>
      </c>
      <c r="U79" s="1036">
        <f>('Tariff Rand Values 2024-25 Actu'!U79*'MSCOA - Tariff Structure'!$S$2)+'Tariff Rand Values 2024-25 Actu'!U79</f>
        <v>133912.3980524434</v>
      </c>
      <c r="V79" s="1036">
        <f>SUM(L79:T79)</f>
        <v>511084.40308196173</v>
      </c>
      <c r="W79" s="1036">
        <f>U79+J79+K79</f>
        <v>380635.09637244337</v>
      </c>
    </row>
    <row r="80" spans="1:24" s="364" customFormat="1" x14ac:dyDescent="0.35">
      <c r="A80" s="1038" t="s">
        <v>509</v>
      </c>
      <c r="B80" s="1038" t="s">
        <v>441</v>
      </c>
      <c r="C80" s="1038" t="s">
        <v>508</v>
      </c>
      <c r="D80" s="1038" t="s">
        <v>1054</v>
      </c>
      <c r="E80" s="1122" t="s">
        <v>508</v>
      </c>
      <c r="F80" s="1122" t="s">
        <v>1054</v>
      </c>
      <c r="G80" s="1122"/>
      <c r="H80" s="1122"/>
      <c r="I80" s="1043">
        <f>SUM(J80:U80)</f>
        <v>710172.38969607896</v>
      </c>
      <c r="J80" s="1036">
        <v>99534.606079999998</v>
      </c>
      <c r="K80" s="1036">
        <v>89927.114920000007</v>
      </c>
      <c r="L80" s="1036">
        <v>46041.973640000004</v>
      </c>
      <c r="M80" s="1036">
        <v>38849.789879999997</v>
      </c>
      <c r="N80" s="1036">
        <f>('Tariff Rand Values 2024-25 Actu'!N80*'MSCOA - Tariff Structure'!$S$2)+'Tariff Rand Values 2024-25 Actu'!N80</f>
        <v>37624.584920000001</v>
      </c>
      <c r="O80" s="1036">
        <f>('Tariff Rand Values 2024-25 Actu'!O80*'MSCOA - Tariff Structure'!$S$2)+'Tariff Rand Values 2024-25 Actu'!O80</f>
        <v>53083.440239999996</v>
      </c>
      <c r="P80" s="1036">
        <f>('Tariff Rand Values 2024-25 Actu'!P80*'MSCOA - Tariff Structure'!$S$2)+'Tariff Rand Values 2024-25 Actu'!P80</f>
        <v>51296.898440000004</v>
      </c>
      <c r="Q80" s="1036">
        <f>('Tariff Rand Values 2024-25 Actu'!Q80*'MSCOA - Tariff Structure'!$S$2)+'Tariff Rand Values 2024-25 Actu'!Q80</f>
        <v>46548.852680000011</v>
      </c>
      <c r="R80" s="1036">
        <f>('Tariff Rand Values 2024-25 Actu'!R80*'MSCOA - Tariff Structure'!$S$2)+'Tariff Rand Values 2024-25 Actu'!R80</f>
        <v>50946.801181427916</v>
      </c>
      <c r="S80" s="1036">
        <f>('Tariff Rand Values 2024-25 Actu'!S80*'MSCOA - Tariff Structure'!$S$2)+'Tariff Rand Values 2024-25 Actu'!S80</f>
        <v>49859.293500326239</v>
      </c>
      <c r="T80" s="1036">
        <f>('Tariff Rand Values 2024-25 Actu'!T80*'MSCOA - Tariff Structure'!$S$2)+'Tariff Rand Values 2024-25 Actu'!T80</f>
        <v>47568.84131275121</v>
      </c>
      <c r="U80" s="1036">
        <f>('Tariff Rand Values 2024-25 Actu'!U80*'MSCOA - Tariff Structure'!$S$2)+'Tariff Rand Values 2024-25 Actu'!U80</f>
        <v>98890.192901573653</v>
      </c>
      <c r="V80" s="1036">
        <f>SUM(L80:T80)</f>
        <v>421820.47579450539</v>
      </c>
      <c r="W80" s="1036">
        <f>U80+J80+K80</f>
        <v>288351.91390157369</v>
      </c>
    </row>
    <row r="81" spans="1:24" s="364" customFormat="1" ht="15" thickBot="1" x14ac:dyDescent="0.4">
      <c r="A81" s="359" t="s">
        <v>1479</v>
      </c>
      <c r="B81" s="248"/>
      <c r="C81" s="248"/>
      <c r="D81" s="248"/>
      <c r="I81" s="1060">
        <f>I82</f>
        <v>424455.91344418027</v>
      </c>
      <c r="J81" s="611"/>
      <c r="K81" s="611"/>
      <c r="L81" s="611"/>
      <c r="M81" s="611"/>
      <c r="N81" s="611"/>
      <c r="O81" s="611"/>
      <c r="P81" s="611"/>
      <c r="Q81" s="611"/>
      <c r="R81" s="611"/>
      <c r="S81" s="611"/>
      <c r="T81" s="611"/>
      <c r="U81" s="611"/>
      <c r="V81" s="611">
        <f>+V80+V79+V78</f>
        <v>1270725.3842460918</v>
      </c>
      <c r="W81" s="611">
        <f>+W80+W79+W78</f>
        <v>990921.17952173448</v>
      </c>
      <c r="X81" s="364">
        <f>+W81+V81</f>
        <v>2261646.5637678262</v>
      </c>
    </row>
    <row r="82" spans="1:24" s="364" customFormat="1" ht="15" thickTop="1" x14ac:dyDescent="0.35">
      <c r="A82" s="1038" t="s">
        <v>1488</v>
      </c>
      <c r="B82" s="1038" t="s">
        <v>1488</v>
      </c>
      <c r="C82" s="1038" t="s">
        <v>1481</v>
      </c>
      <c r="D82" s="1038" t="s">
        <v>1481</v>
      </c>
      <c r="E82" s="1122"/>
      <c r="F82" s="1122"/>
      <c r="G82" s="1122"/>
      <c r="H82" s="1122"/>
      <c r="I82" s="1043">
        <f>SUM(J82:U82)</f>
        <v>424455.91344418027</v>
      </c>
      <c r="J82" s="1036">
        <v>65293.823160000007</v>
      </c>
      <c r="K82" s="1036">
        <v>43890.896159999997</v>
      </c>
      <c r="L82" s="1036">
        <v>37502.945639999998</v>
      </c>
      <c r="M82" s="1036">
        <v>16724.074679999998</v>
      </c>
      <c r="N82" s="1036">
        <f>('Tariff Rand Values 2024-25 Actu'!N82*'MSCOA - Tariff Structure'!$S$2)+'Tariff Rand Values 2024-25 Actu'!N82</f>
        <v>12481.120799999999</v>
      </c>
      <c r="O82" s="1036">
        <f>('Tariff Rand Values 2024-25 Actu'!O82*'MSCOA - Tariff Structure'!$S$2)+'Tariff Rand Values 2024-25 Actu'!O82</f>
        <v>15789.5586</v>
      </c>
      <c r="P82" s="1036">
        <f>('Tariff Rand Values 2024-25 Actu'!P82*'MSCOA - Tariff Structure'!$S$2)+'Tariff Rand Values 2024-25 Actu'!P82</f>
        <v>20057.600160000002</v>
      </c>
      <c r="Q82" s="1036">
        <f>('Tariff Rand Values 2024-25 Actu'!Q82*'MSCOA - Tariff Structure'!$S$2)+'Tariff Rand Values 2024-25 Actu'!Q82</f>
        <v>20057.600160000002</v>
      </c>
      <c r="R82" s="1036">
        <f>('Tariff Rand Values 2024-25 Actu'!R82*'MSCOA - Tariff Structure'!$S$2)+'Tariff Rand Values 2024-25 Actu'!R82</f>
        <v>26641.960238468742</v>
      </c>
      <c r="S82" s="1036">
        <f>('Tariff Rand Values 2024-25 Actu'!S82*'MSCOA - Tariff Structure'!$S$2)+'Tariff Rand Values 2024-25 Actu'!S82</f>
        <v>50668.599036180123</v>
      </c>
      <c r="T82" s="1036">
        <f>('Tariff Rand Values 2024-25 Actu'!T82*'MSCOA - Tariff Structure'!$S$2)+'Tariff Rand Values 2024-25 Actu'!T82</f>
        <v>49130.643405265539</v>
      </c>
      <c r="U82" s="1036">
        <f>('Tariff Rand Values 2024-25 Actu'!U82*'MSCOA - Tariff Structure'!$S$2)+'Tariff Rand Values 2024-25 Actu'!U82</f>
        <v>66217.091404265913</v>
      </c>
      <c r="V82" s="1036">
        <f>SUM(L82:T82)</f>
        <v>249054.1027199144</v>
      </c>
      <c r="W82" s="1036">
        <f>U82+J82+K82</f>
        <v>175401.81072426593</v>
      </c>
    </row>
    <row r="83" spans="1:24" s="364" customFormat="1" x14ac:dyDescent="0.35">
      <c r="A83" s="1038" t="s">
        <v>485</v>
      </c>
      <c r="B83" s="1038" t="s">
        <v>485</v>
      </c>
      <c r="C83" s="1038"/>
      <c r="D83" s="1038"/>
      <c r="E83" s="1038"/>
      <c r="F83" s="1038"/>
      <c r="G83" s="1038"/>
      <c r="H83" s="1038"/>
      <c r="I83" s="1036">
        <f>SUM(J83:U83)</f>
        <v>133541328.38002913</v>
      </c>
      <c r="J83" s="1036">
        <v>12388453.223951139</v>
      </c>
      <c r="K83" s="1036">
        <v>12416140.496468185</v>
      </c>
      <c r="L83" s="1036">
        <v>12030768.567630598</v>
      </c>
      <c r="M83" s="1036">
        <v>12438345.179555967</v>
      </c>
      <c r="N83" s="1036">
        <f>('Tariff Rand Values 2024-25 Actu'!N83*'MSCOA - Tariff Structure'!$S$2)+'Tariff Rand Values 2024-25 Actu'!N83</f>
        <v>12089717.211657764</v>
      </c>
      <c r="O83" s="1036">
        <f>('Tariff Rand Values 2024-25 Actu'!O83*'MSCOA - Tariff Structure'!$S$2)+'Tariff Rand Values 2024-25 Actu'!O83</f>
        <v>11865321.349431295</v>
      </c>
      <c r="P83" s="1036">
        <f>('Tariff Rand Values 2024-25 Actu'!P83*'MSCOA - Tariff Structure'!$S$2)+'Tariff Rand Values 2024-25 Actu'!P83</f>
        <v>11882949.460566321</v>
      </c>
      <c r="Q83" s="1036">
        <f>('Tariff Rand Values 2024-25 Actu'!Q83*'MSCOA - Tariff Structure'!$S$2)+'Tariff Rand Values 2024-25 Actu'!Q83</f>
        <v>11974295.127356919</v>
      </c>
      <c r="R83" s="1036">
        <f>('Tariff Rand Values 2024-25 Actu'!R83*'MSCOA - Tariff Structure'!$S$2)+'Tariff Rand Values 2024-25 Actu'!R83</f>
        <v>9352700.4278291333</v>
      </c>
      <c r="S83" s="1036">
        <f>('Tariff Rand Values 2024-25 Actu'!S83*'MSCOA - Tariff Structure'!$S$2)+'Tariff Rand Values 2024-25 Actu'!S83</f>
        <v>9008384.3024181947</v>
      </c>
      <c r="T83" s="1036">
        <f>('Tariff Rand Values 2024-25 Actu'!T83*'MSCOA - Tariff Structure'!$S$2)+'Tariff Rand Values 2024-25 Actu'!T83</f>
        <v>9040129.7607894167</v>
      </c>
      <c r="U83" s="1036">
        <f>('Tariff Rand Values 2024-25 Actu'!U83*'MSCOA - Tariff Structure'!$S$2)+'Tariff Rand Values 2024-25 Actu'!U83</f>
        <v>9054123.2723741978</v>
      </c>
      <c r="V83" s="1036">
        <f>SUM(L83:T83)</f>
        <v>99682611.387235612</v>
      </c>
      <c r="W83" s="1036">
        <f>U83+J83+K83</f>
        <v>33858716.992793523</v>
      </c>
      <c r="X83" s="364">
        <f>+V83+W83</f>
        <v>133541328.38002914</v>
      </c>
    </row>
    <row r="84" spans="1:24" s="364" customFormat="1" x14ac:dyDescent="0.35">
      <c r="A84" s="1040"/>
      <c r="B84" s="1040"/>
      <c r="C84" s="1040"/>
      <c r="D84" s="1040"/>
      <c r="E84" s="1040"/>
      <c r="F84" s="1040"/>
      <c r="G84" s="1040"/>
      <c r="H84" s="1040"/>
      <c r="I84" s="1041"/>
      <c r="J84" s="1041"/>
      <c r="K84" s="1041"/>
      <c r="L84" s="1041"/>
      <c r="M84" s="1041"/>
      <c r="N84" s="1041"/>
      <c r="O84" s="1041"/>
      <c r="P84" s="1041"/>
      <c r="Q84" s="1041"/>
      <c r="R84" s="1041"/>
      <c r="S84" s="1041"/>
      <c r="T84" s="1041"/>
      <c r="U84" s="1041"/>
      <c r="V84" s="1041"/>
      <c r="W84" s="1041"/>
    </row>
    <row r="85" spans="1:24" s="364" customFormat="1" x14ac:dyDescent="0.35">
      <c r="A85" s="248" t="s">
        <v>1931</v>
      </c>
      <c r="B85" s="248" t="s">
        <v>485</v>
      </c>
      <c r="C85" s="248"/>
      <c r="D85" s="248"/>
      <c r="I85" s="1036">
        <f>SUM(J85:U85)</f>
        <v>148323344.00828001</v>
      </c>
      <c r="J85" s="1036">
        <v>12360278.667356666</v>
      </c>
      <c r="K85" s="1036">
        <v>12360278.667356666</v>
      </c>
      <c r="L85" s="1036">
        <v>12360278.667356666</v>
      </c>
      <c r="M85" s="1036">
        <v>12360278.667356666</v>
      </c>
      <c r="N85" s="1036">
        <f>('Tariff Rand Values 2024-25'!N85*'MSCOA - Tariff Structure'!$S$2)+'Tariff Rand Values 2024-25'!N85</f>
        <v>12360278.667356666</v>
      </c>
      <c r="O85" s="1036">
        <f>('Tariff Rand Values 2024-25'!O85*'MSCOA - Tariff Structure'!$S$2)+'Tariff Rand Values 2024-25'!O85</f>
        <v>12360278.667356666</v>
      </c>
      <c r="P85" s="1036">
        <f>('Tariff Rand Values 2024-25'!P85*'MSCOA - Tariff Structure'!$S$2)+'Tariff Rand Values 2024-25'!P85</f>
        <v>12360278.667356666</v>
      </c>
      <c r="Q85" s="1036">
        <f>('Tariff Rand Values 2024-25'!Q85*'MSCOA - Tariff Structure'!$S$2)+'Tariff Rand Values 2024-25'!Q85</f>
        <v>12360278.667356666</v>
      </c>
      <c r="R85" s="1036">
        <f>('Tariff Rand Values 2024-25'!R85*'MSCOA - Tariff Structure'!$S$2)+'Tariff Rand Values 2024-25'!R85</f>
        <v>12360278.667356666</v>
      </c>
      <c r="S85" s="1036">
        <f>('Tariff Rand Values 2024-25'!S85*'MSCOA - Tariff Structure'!$S$2)+'Tariff Rand Values 2024-25'!S85</f>
        <v>12360278.667356666</v>
      </c>
      <c r="T85" s="1036">
        <f>('Tariff Rand Values 2024-25'!T85*'MSCOA - Tariff Structure'!$S$2)+'Tariff Rand Values 2024-25'!T85</f>
        <v>12360278.667356666</v>
      </c>
      <c r="U85" s="1036">
        <f>('Tariff Rand Values 2024-25'!U85*'MSCOA - Tariff Structure'!$S$2)+'Tariff Rand Values 2024-25'!U85</f>
        <v>12360278.667356666</v>
      </c>
      <c r="V85" s="1036">
        <f>SUM(L85:T85)</f>
        <v>111242508.00621001</v>
      </c>
      <c r="W85" s="1036">
        <f>U85+J85+K85</f>
        <v>37080836.002069995</v>
      </c>
    </row>
    <row r="86" spans="1:24" x14ac:dyDescent="0.35">
      <c r="A86" s="577"/>
      <c r="B86" s="867"/>
      <c r="C86" s="867"/>
      <c r="D86" s="867"/>
      <c r="E86" s="867"/>
      <c r="F86" s="867"/>
      <c r="G86" s="867"/>
      <c r="H86" s="867"/>
      <c r="I86" s="867"/>
      <c r="J86" s="867"/>
      <c r="K86" s="867"/>
      <c r="L86" s="867"/>
      <c r="M86" s="867"/>
      <c r="N86" s="867"/>
      <c r="O86" s="867"/>
      <c r="P86" s="867"/>
      <c r="Q86" s="867"/>
      <c r="R86" s="867"/>
      <c r="S86" s="867"/>
      <c r="T86" s="867"/>
      <c r="U86" s="867"/>
      <c r="V86" s="875"/>
      <c r="W86" s="875"/>
    </row>
    <row r="87" spans="1:24" ht="15.5" x14ac:dyDescent="0.35">
      <c r="A87" s="867"/>
      <c r="B87" s="867"/>
      <c r="C87" s="603"/>
      <c r="D87" s="603"/>
      <c r="E87" s="603"/>
      <c r="F87" s="603"/>
      <c r="G87" s="603"/>
      <c r="H87" s="603"/>
      <c r="I87" s="1044" t="s">
        <v>1918</v>
      </c>
      <c r="J87" s="867"/>
      <c r="K87" s="867"/>
      <c r="L87" s="867"/>
      <c r="M87" s="867"/>
      <c r="N87" s="867"/>
      <c r="O87" s="867"/>
      <c r="P87" s="867"/>
      <c r="Q87" s="867"/>
      <c r="R87" s="867"/>
      <c r="S87" s="867"/>
      <c r="T87" s="867"/>
      <c r="U87" s="867"/>
      <c r="V87" s="875"/>
      <c r="W87" s="875"/>
    </row>
    <row r="88" spans="1:24" ht="15" thickBot="1" x14ac:dyDescent="0.4">
      <c r="A88" s="330"/>
      <c r="B88" s="330"/>
      <c r="I88" s="1045" t="s">
        <v>295</v>
      </c>
      <c r="J88" s="852">
        <f>SUM(J89:J92)</f>
        <v>518087525.40009731</v>
      </c>
      <c r="K88" s="852">
        <f t="shared" ref="K88:T88" si="10">SUM(K89:K92)</f>
        <v>479477813.04098147</v>
      </c>
      <c r="L88" s="852">
        <f t="shared" si="10"/>
        <v>378059675.71052963</v>
      </c>
      <c r="M88" s="852">
        <f t="shared" si="10"/>
        <v>380157941.15172094</v>
      </c>
      <c r="N88" s="852">
        <f t="shared" si="10"/>
        <v>373449393.33267814</v>
      </c>
      <c r="O88" s="852">
        <f t="shared" si="10"/>
        <v>372066245.92407316</v>
      </c>
      <c r="P88" s="852">
        <f t="shared" si="10"/>
        <v>372394649.81813014</v>
      </c>
      <c r="Q88" s="852">
        <f t="shared" si="10"/>
        <v>307541450.59679198</v>
      </c>
      <c r="R88" s="852">
        <f t="shared" si="10"/>
        <v>239126986.30394346</v>
      </c>
      <c r="S88" s="852">
        <f t="shared" si="10"/>
        <v>234658022.95001629</v>
      </c>
      <c r="T88" s="852">
        <f t="shared" si="10"/>
        <v>305016198.88489479</v>
      </c>
      <c r="U88" s="852">
        <f>SUM(U89:U92)</f>
        <v>409726766.83287692</v>
      </c>
      <c r="V88" s="853">
        <f>SUM(J88:U88)</f>
        <v>4369762669.9467344</v>
      </c>
      <c r="W88" s="877"/>
    </row>
    <row r="89" spans="1:24" ht="15" thickTop="1" x14ac:dyDescent="0.35">
      <c r="A89" s="330"/>
      <c r="B89" s="330"/>
      <c r="I89" s="1046" t="s">
        <v>542</v>
      </c>
      <c r="J89" s="845">
        <f>+J4+J5+J11+J12+J27</f>
        <v>212065593.54452837</v>
      </c>
      <c r="K89" s="719">
        <f t="shared" ref="K89:U89" si="11">+K4+K5+K11+K12+K27</f>
        <v>198515322.10843119</v>
      </c>
      <c r="L89" s="719">
        <f t="shared" si="11"/>
        <v>181402445.44720361</v>
      </c>
      <c r="M89" s="719">
        <f t="shared" si="11"/>
        <v>182114775.97854882</v>
      </c>
      <c r="N89" s="719">
        <f t="shared" si="11"/>
        <v>181464835.55758098</v>
      </c>
      <c r="O89" s="719">
        <f t="shared" si="11"/>
        <v>183782141.6339426</v>
      </c>
      <c r="P89" s="719">
        <f t="shared" si="11"/>
        <v>173499418.49842417</v>
      </c>
      <c r="Q89" s="719">
        <f t="shared" si="11"/>
        <v>109873865.81613868</v>
      </c>
      <c r="R89" s="719">
        <f t="shared" si="11"/>
        <v>87749115.428119823</v>
      </c>
      <c r="S89" s="719">
        <f t="shared" si="11"/>
        <v>88487267.509403586</v>
      </c>
      <c r="T89" s="719">
        <f t="shared" si="11"/>
        <v>150633240.54396176</v>
      </c>
      <c r="U89" s="846">
        <f t="shared" si="11"/>
        <v>187188751.91285542</v>
      </c>
      <c r="V89" s="855">
        <f>SUM(J89:U89)</f>
        <v>1936776773.9791389</v>
      </c>
      <c r="W89" s="878"/>
    </row>
    <row r="90" spans="1:24" x14ac:dyDescent="0.35">
      <c r="A90" s="330"/>
      <c r="B90" s="330"/>
      <c r="I90" s="1046" t="s">
        <v>297</v>
      </c>
      <c r="J90" s="845">
        <f t="shared" ref="J90:U90" si="12">SUM(J29:J82,J14:J25,J8:J9,J85)</f>
        <v>287814326.79745585</v>
      </c>
      <c r="K90" s="719">
        <f t="shared" si="12"/>
        <v>262727198.60192013</v>
      </c>
      <c r="L90" s="719">
        <f t="shared" si="12"/>
        <v>178807368.17394981</v>
      </c>
      <c r="M90" s="719">
        <f t="shared" si="12"/>
        <v>179785726.47187054</v>
      </c>
      <c r="N90" s="719">
        <f t="shared" si="12"/>
        <v>174075747.04169375</v>
      </c>
      <c r="O90" s="719">
        <f t="shared" si="12"/>
        <v>170599689.41895363</v>
      </c>
      <c r="P90" s="719">
        <f t="shared" si="12"/>
        <v>181193188.33739403</v>
      </c>
      <c r="Q90" s="719">
        <f t="shared" si="12"/>
        <v>179874196.1315507</v>
      </c>
      <c r="R90" s="719">
        <f t="shared" si="12"/>
        <v>136206076.92624888</v>
      </c>
      <c r="S90" s="719">
        <f t="shared" si="12"/>
        <v>131343277.61644888</v>
      </c>
      <c r="T90" s="719">
        <f t="shared" si="12"/>
        <v>139523735.05839801</v>
      </c>
      <c r="U90" s="846">
        <f t="shared" si="12"/>
        <v>207664739.81348535</v>
      </c>
      <c r="V90" s="855">
        <f>SUM(J90:U90)</f>
        <v>2229615270.3893695</v>
      </c>
      <c r="W90" s="878"/>
    </row>
    <row r="91" spans="1:24" x14ac:dyDescent="0.35">
      <c r="A91" s="330"/>
      <c r="B91" s="330"/>
      <c r="I91" s="1046" t="s">
        <v>298</v>
      </c>
      <c r="J91" s="845">
        <f t="shared" ref="J91:T91" si="13">+J3+J7</f>
        <v>5819151.8341619214</v>
      </c>
      <c r="K91" s="719">
        <f t="shared" si="13"/>
        <v>5819151.8341619214</v>
      </c>
      <c r="L91" s="719">
        <f t="shared" si="13"/>
        <v>5819093.521745624</v>
      </c>
      <c r="M91" s="719">
        <f t="shared" si="13"/>
        <v>5819093.521745624</v>
      </c>
      <c r="N91" s="719">
        <f t="shared" si="13"/>
        <v>5819093.521745624</v>
      </c>
      <c r="O91" s="719">
        <f t="shared" si="13"/>
        <v>5819093.521745624</v>
      </c>
      <c r="P91" s="719">
        <f t="shared" si="13"/>
        <v>5819093.521745624</v>
      </c>
      <c r="Q91" s="719">
        <f t="shared" si="13"/>
        <v>5819093.521745624</v>
      </c>
      <c r="R91" s="719">
        <f t="shared" si="13"/>
        <v>5819093.521745624</v>
      </c>
      <c r="S91" s="719">
        <f t="shared" si="13"/>
        <v>5819093.521745624</v>
      </c>
      <c r="T91" s="719">
        <f t="shared" si="13"/>
        <v>5819093.521745624</v>
      </c>
      <c r="U91" s="846">
        <f>+U3+U7</f>
        <v>5819151.8341619214</v>
      </c>
      <c r="V91" s="855">
        <f>SUM(J91:U91)</f>
        <v>69829297.198196366</v>
      </c>
      <c r="W91" s="878"/>
    </row>
    <row r="92" spans="1:24" x14ac:dyDescent="0.35">
      <c r="A92" s="330"/>
      <c r="B92" s="330"/>
      <c r="I92" s="1047" t="s">
        <v>543</v>
      </c>
      <c r="J92" s="847">
        <f>+J83</f>
        <v>12388453.223951139</v>
      </c>
      <c r="K92" s="721">
        <f t="shared" ref="K92:T92" si="14">+K83</f>
        <v>12416140.496468185</v>
      </c>
      <c r="L92" s="721">
        <f t="shared" si="14"/>
        <v>12030768.567630598</v>
      </c>
      <c r="M92" s="721">
        <f t="shared" si="14"/>
        <v>12438345.179555967</v>
      </c>
      <c r="N92" s="721">
        <f t="shared" si="14"/>
        <v>12089717.211657764</v>
      </c>
      <c r="O92" s="721">
        <f t="shared" si="14"/>
        <v>11865321.349431295</v>
      </c>
      <c r="P92" s="721">
        <f t="shared" si="14"/>
        <v>11882949.460566321</v>
      </c>
      <c r="Q92" s="721">
        <f t="shared" si="14"/>
        <v>11974295.127356919</v>
      </c>
      <c r="R92" s="721">
        <f t="shared" si="14"/>
        <v>9352700.4278291333</v>
      </c>
      <c r="S92" s="721">
        <f t="shared" si="14"/>
        <v>9008384.3024181947</v>
      </c>
      <c r="T92" s="721">
        <f t="shared" si="14"/>
        <v>9040129.7607894167</v>
      </c>
      <c r="U92" s="848">
        <f>+U83</f>
        <v>9054123.2723741978</v>
      </c>
      <c r="V92" s="856">
        <f>SUM(J92:U92)</f>
        <v>133541328.38002913</v>
      </c>
      <c r="W92" s="879"/>
    </row>
    <row r="93" spans="1:24" x14ac:dyDescent="0.35">
      <c r="A93" s="330"/>
      <c r="B93" s="330"/>
      <c r="I93" s="1048"/>
      <c r="J93" s="872"/>
      <c r="K93" s="872"/>
      <c r="L93" s="872"/>
      <c r="M93" s="872"/>
      <c r="N93" s="872"/>
      <c r="O93" s="872"/>
      <c r="P93" s="872"/>
      <c r="Q93" s="872"/>
      <c r="R93" s="872"/>
      <c r="S93" s="872"/>
      <c r="T93" s="872"/>
      <c r="U93" s="872"/>
      <c r="V93" s="873"/>
      <c r="W93" s="874"/>
    </row>
    <row r="94" spans="1:24" ht="15.5" x14ac:dyDescent="0.35">
      <c r="A94" s="330"/>
      <c r="B94" s="330"/>
      <c r="D94" s="381"/>
      <c r="I94" s="1049" t="s">
        <v>1924</v>
      </c>
      <c r="J94" s="869"/>
      <c r="K94" s="869"/>
      <c r="L94" s="869"/>
      <c r="M94" s="869"/>
      <c r="N94" s="869"/>
      <c r="O94" s="869"/>
      <c r="P94" s="869"/>
      <c r="Q94" s="869"/>
      <c r="R94" s="869"/>
      <c r="S94" s="869"/>
      <c r="T94" s="869"/>
      <c r="U94" s="869"/>
      <c r="V94" s="869"/>
      <c r="W94" s="869"/>
      <c r="X94" s="594"/>
    </row>
    <row r="95" spans="1:24" ht="15" thickBot="1" x14ac:dyDescent="0.4">
      <c r="A95" s="330"/>
      <c r="B95" s="330"/>
      <c r="I95" s="849" t="s">
        <v>295</v>
      </c>
      <c r="J95" s="850">
        <f t="shared" ref="J95:T95" si="15">SUM(J96:J99)</f>
        <v>569378190.41470683</v>
      </c>
      <c r="K95" s="850">
        <f t="shared" si="15"/>
        <v>526946116.53203857</v>
      </c>
      <c r="L95" s="850">
        <f t="shared" si="15"/>
        <v>415487583.60587204</v>
      </c>
      <c r="M95" s="850">
        <f t="shared" si="15"/>
        <v>417793577.32574129</v>
      </c>
      <c r="N95" s="850">
        <f t="shared" si="15"/>
        <v>410420883.27261323</v>
      </c>
      <c r="O95" s="850">
        <f t="shared" si="15"/>
        <v>408900804.27055639</v>
      </c>
      <c r="P95" s="850">
        <f t="shared" si="15"/>
        <v>409261720.15012503</v>
      </c>
      <c r="Q95" s="850">
        <f t="shared" si="15"/>
        <v>337988054.20587432</v>
      </c>
      <c r="R95" s="850">
        <f t="shared" si="15"/>
        <v>262800557.94803384</v>
      </c>
      <c r="S95" s="850">
        <f t="shared" si="15"/>
        <v>257889167.22206786</v>
      </c>
      <c r="T95" s="850">
        <f t="shared" si="15"/>
        <v>335212802.57449937</v>
      </c>
      <c r="U95" s="850">
        <f>SUM(U96:U99)</f>
        <v>450289716.74933165</v>
      </c>
      <c r="V95" s="850">
        <f>SUM(J95:U95)</f>
        <v>4802369174.2714605</v>
      </c>
      <c r="W95" s="869"/>
    </row>
    <row r="96" spans="1:24" ht="15" thickTop="1" x14ac:dyDescent="0.35">
      <c r="A96" s="330"/>
      <c r="B96" s="330"/>
      <c r="I96" s="860" t="s">
        <v>296</v>
      </c>
      <c r="J96" s="1106">
        <f>J89*(1+'MSCOA - Tariff Structure'!$T$2)</f>
        <v>233060087.30543667</v>
      </c>
      <c r="K96" s="859">
        <f>K89*(1+'MSCOA - Tariff Structure'!$T$2)</f>
        <v>218168338.99716586</v>
      </c>
      <c r="L96" s="859">
        <f>L89*(1+'MSCOA - Tariff Structure'!$T$2)</f>
        <v>199361287.54647675</v>
      </c>
      <c r="M96" s="859">
        <f>M89*(1+'MSCOA - Tariff Structure'!$T$2)</f>
        <v>200144138.80042514</v>
      </c>
      <c r="N96" s="859">
        <f>N89*(1+'MSCOA - Tariff Structure'!$T$2)</f>
        <v>199429854.27778149</v>
      </c>
      <c r="O96" s="859">
        <f>O89*(1+'MSCOA - Tariff Structure'!$T$2)</f>
        <v>201976573.65570292</v>
      </c>
      <c r="P96" s="859">
        <f>P89*(1+'MSCOA - Tariff Structure'!$T$2)</f>
        <v>190675860.92976817</v>
      </c>
      <c r="Q96" s="859">
        <f>Q89*(1+'MSCOA - Tariff Structure'!$T$2)</f>
        <v>120751378.53193641</v>
      </c>
      <c r="R96" s="859">
        <f>R89*(1+'MSCOA - Tariff Structure'!$T$2)</f>
        <v>96436277.855503678</v>
      </c>
      <c r="S96" s="859">
        <f>S89*(1+'MSCOA - Tariff Structure'!$T$2)</f>
        <v>97247506.992834538</v>
      </c>
      <c r="T96" s="859">
        <f>T89*(1+'MSCOA - Tariff Structure'!$T$2)</f>
        <v>165545931.35781398</v>
      </c>
      <c r="U96" s="1107">
        <f>U89*(1+'MSCOA - Tariff Structure'!$T$2)</f>
        <v>205720438.35222811</v>
      </c>
      <c r="V96" s="865">
        <f>SUM(J96:U96)</f>
        <v>2128517674.6030738</v>
      </c>
      <c r="W96" s="869"/>
    </row>
    <row r="97" spans="1:23" x14ac:dyDescent="0.35">
      <c r="A97" s="330"/>
      <c r="B97" s="330"/>
      <c r="I97" s="860" t="s">
        <v>297</v>
      </c>
      <c r="J97" s="1106">
        <f>J90*(1+'MSCOA - Tariff Structure'!$T$2)</f>
        <v>316307945.15040398</v>
      </c>
      <c r="K97" s="859">
        <f>K90*(1+'MSCOA - Tariff Structure'!$T$2)</f>
        <v>288737191.26351023</v>
      </c>
      <c r="L97" s="859">
        <f>L90*(1+'MSCOA - Tariff Structure'!$T$2)</f>
        <v>196509297.62317082</v>
      </c>
      <c r="M97" s="859">
        <f>M90*(1+'MSCOA - Tariff Structure'!$T$2)</f>
        <v>197584513.39258572</v>
      </c>
      <c r="N97" s="859">
        <f>N90*(1+'MSCOA - Tariff Structure'!$T$2)</f>
        <v>191309245.99882144</v>
      </c>
      <c r="O97" s="859">
        <f>O90*(1+'MSCOA - Tariff Structure'!$T$2)</f>
        <v>187489058.67143002</v>
      </c>
      <c r="P97" s="859">
        <f>P90*(1+'MSCOA - Tariff Structure'!$T$2)</f>
        <v>199131313.98279604</v>
      </c>
      <c r="Q97" s="859">
        <f>Q90*(1+'MSCOA - Tariff Structure'!$T$2)</f>
        <v>197681741.54857421</v>
      </c>
      <c r="R97" s="859">
        <f>R90*(1+'MSCOA - Tariff Structure'!$T$2)</f>
        <v>149690478.54194751</v>
      </c>
      <c r="S97" s="859">
        <f>S90*(1+'MSCOA - Tariff Structure'!$T$2)</f>
        <v>144346262.10047731</v>
      </c>
      <c r="T97" s="859">
        <f>T90*(1+'MSCOA - Tariff Structure'!$T$2)</f>
        <v>153336584.82917941</v>
      </c>
      <c r="U97" s="1107">
        <f>U90*(1+'MSCOA - Tariff Structure'!$T$2)</f>
        <v>228223549.05502039</v>
      </c>
      <c r="V97" s="865">
        <f>SUM(J97:U97)</f>
        <v>2450347182.157917</v>
      </c>
      <c r="W97" s="869"/>
    </row>
    <row r="98" spans="1:23" x14ac:dyDescent="0.35">
      <c r="A98" s="330"/>
      <c r="B98" s="330"/>
      <c r="I98" s="860" t="s">
        <v>298</v>
      </c>
      <c r="J98" s="1106">
        <f>J91*(1+'MSCOA - Tariff Structure'!$T$2)</f>
        <v>6395247.8657439519</v>
      </c>
      <c r="K98" s="859">
        <f>K91*(1+'MSCOA - Tariff Structure'!$T$2)</f>
        <v>6395247.8657439519</v>
      </c>
      <c r="L98" s="859">
        <f>L91*(1+'MSCOA - Tariff Structure'!$T$2)</f>
        <v>6395183.7803984405</v>
      </c>
      <c r="M98" s="859">
        <f>M91*(1+'MSCOA - Tariff Structure'!$T$2)</f>
        <v>6395183.7803984405</v>
      </c>
      <c r="N98" s="859">
        <f>N91*(1+'MSCOA - Tariff Structure'!$T$2)</f>
        <v>6395183.7803984405</v>
      </c>
      <c r="O98" s="859">
        <f>O91*(1+'MSCOA - Tariff Structure'!$T$2)</f>
        <v>6395183.7803984405</v>
      </c>
      <c r="P98" s="859">
        <f>P91*(1+'MSCOA - Tariff Structure'!$T$2)</f>
        <v>6395183.7803984405</v>
      </c>
      <c r="Q98" s="859">
        <f>Q91*(1+'MSCOA - Tariff Structure'!$T$2)</f>
        <v>6395183.7803984405</v>
      </c>
      <c r="R98" s="859">
        <f>R91*(1+'MSCOA - Tariff Structure'!$T$2)</f>
        <v>6395183.7803984405</v>
      </c>
      <c r="S98" s="859">
        <f>S91*(1+'MSCOA - Tariff Structure'!$T$2)</f>
        <v>6395183.7803984405</v>
      </c>
      <c r="T98" s="859">
        <f>T91*(1+'MSCOA - Tariff Structure'!$T$2)</f>
        <v>6395183.7803984405</v>
      </c>
      <c r="U98" s="1107">
        <f>U91*(1+'MSCOA - Tariff Structure'!$T$2)</f>
        <v>6395247.8657439519</v>
      </c>
      <c r="V98" s="865">
        <f>SUM(J98:U98)</f>
        <v>76742397.620817825</v>
      </c>
      <c r="W98" s="869"/>
    </row>
    <row r="99" spans="1:23" x14ac:dyDescent="0.35">
      <c r="A99" s="330"/>
      <c r="B99" s="330"/>
      <c r="I99" s="861" t="s">
        <v>543</v>
      </c>
      <c r="J99" s="1108">
        <f>J92*(1+'MSCOA - Tariff Structure'!$T$2)</f>
        <v>13614910.093122302</v>
      </c>
      <c r="K99" s="862">
        <f>K92*(1+'MSCOA - Tariff Structure'!$T$2)</f>
        <v>13645338.405618535</v>
      </c>
      <c r="L99" s="862">
        <f>L92*(1+'MSCOA - Tariff Structure'!$T$2)</f>
        <v>13221814.655826027</v>
      </c>
      <c r="M99" s="862">
        <f>M92*(1+'MSCOA - Tariff Structure'!$T$2)</f>
        <v>13669741.352332007</v>
      </c>
      <c r="N99" s="862">
        <f>N92*(1+'MSCOA - Tariff Structure'!$T$2)</f>
        <v>13286599.215611883</v>
      </c>
      <c r="O99" s="862">
        <f>O92*(1+'MSCOA - Tariff Structure'!$T$2)</f>
        <v>13039988.163024994</v>
      </c>
      <c r="P99" s="862">
        <f>P92*(1+'MSCOA - Tariff Structure'!$T$2)</f>
        <v>13059361.457162388</v>
      </c>
      <c r="Q99" s="862">
        <f>Q92*(1+'MSCOA - Tariff Structure'!$T$2)</f>
        <v>13159750.344965253</v>
      </c>
      <c r="R99" s="862">
        <f>R92*(1+'MSCOA - Tariff Structure'!$T$2)</f>
        <v>10278617.770184217</v>
      </c>
      <c r="S99" s="862">
        <f>S92*(1+'MSCOA - Tariff Structure'!$T$2)</f>
        <v>9900214.3483575955</v>
      </c>
      <c r="T99" s="862">
        <f>T92*(1+'MSCOA - Tariff Structure'!$T$2)</f>
        <v>9935102.6071075685</v>
      </c>
      <c r="U99" s="1109">
        <f>U92*(1+'MSCOA - Tariff Structure'!$T$2)</f>
        <v>9950481.4763392434</v>
      </c>
      <c r="V99" s="857">
        <f>SUM(J99:U99)</f>
        <v>146761919.88965201</v>
      </c>
      <c r="W99" s="869"/>
    </row>
    <row r="100" spans="1:23" x14ac:dyDescent="0.35">
      <c r="A100" s="330"/>
      <c r="B100" s="330"/>
      <c r="I100" s="1050"/>
      <c r="J100" s="869"/>
      <c r="K100" s="869"/>
      <c r="L100" s="869"/>
      <c r="M100" s="869"/>
      <c r="N100" s="869"/>
      <c r="O100" s="869"/>
      <c r="P100" s="869"/>
      <c r="Q100" s="869"/>
      <c r="R100" s="869"/>
      <c r="S100" s="869"/>
      <c r="T100" s="869"/>
      <c r="U100" s="869"/>
      <c r="V100" s="869"/>
      <c r="W100" s="869"/>
    </row>
    <row r="101" spans="1:23" ht="15.5" x14ac:dyDescent="0.35">
      <c r="A101" s="330"/>
      <c r="B101" s="330"/>
      <c r="I101" s="1049" t="s">
        <v>1945</v>
      </c>
      <c r="J101" s="869"/>
      <c r="K101" s="869"/>
      <c r="L101" s="869"/>
      <c r="M101" s="869"/>
      <c r="N101" s="869"/>
      <c r="O101" s="869"/>
      <c r="P101" s="869"/>
      <c r="Q101" s="869"/>
      <c r="R101" s="869"/>
      <c r="S101" s="869"/>
      <c r="T101" s="869"/>
      <c r="U101" s="869"/>
      <c r="V101" s="869"/>
      <c r="W101" s="869"/>
    </row>
    <row r="102" spans="1:23" ht="15" thickBot="1" x14ac:dyDescent="0.4">
      <c r="A102" s="330"/>
      <c r="B102" s="330"/>
      <c r="I102" s="854" t="s">
        <v>295</v>
      </c>
      <c r="J102" s="854">
        <f>SUM(J103:J106)</f>
        <v>610316482.30552435</v>
      </c>
      <c r="K102" s="854">
        <f t="shared" ref="K102:T102" si="16">SUM(K103:K106)</f>
        <v>564833542.31069207</v>
      </c>
      <c r="L102" s="854">
        <f t="shared" si="16"/>
        <v>445361140.86713427</v>
      </c>
      <c r="M102" s="854">
        <f t="shared" si="16"/>
        <v>447832935.5354622</v>
      </c>
      <c r="N102" s="854">
        <f t="shared" si="16"/>
        <v>439930144.77991426</v>
      </c>
      <c r="O102" s="854">
        <f t="shared" si="16"/>
        <v>438300772.09760946</v>
      </c>
      <c r="P102" s="854">
        <f t="shared" si="16"/>
        <v>438687637.82891905</v>
      </c>
      <c r="Q102" s="854">
        <f t="shared" si="16"/>
        <v>362289395.30327672</v>
      </c>
      <c r="R102" s="854">
        <f t="shared" si="16"/>
        <v>281695918.06449753</v>
      </c>
      <c r="S102" s="854">
        <f t="shared" si="16"/>
        <v>276431398.34533453</v>
      </c>
      <c r="T102" s="854">
        <f t="shared" si="16"/>
        <v>359314603.07960594</v>
      </c>
      <c r="U102" s="854">
        <f>SUM(U103:U106)</f>
        <v>482665547.3836087</v>
      </c>
      <c r="V102" s="854">
        <f>SUM(J102:U102)</f>
        <v>5147659517.9015789</v>
      </c>
      <c r="W102" s="869"/>
    </row>
    <row r="103" spans="1:23" ht="15" thickTop="1" x14ac:dyDescent="0.35">
      <c r="A103" s="330"/>
      <c r="B103" s="330"/>
      <c r="I103" s="863" t="s">
        <v>296</v>
      </c>
      <c r="J103" s="863">
        <f>J96*(1+'MSCOA - Tariff Structure'!$U$2)</f>
        <v>249817107.58269757</v>
      </c>
      <c r="K103" s="624">
        <f>K96*(1+'MSCOA - Tariff Structure'!$U$2)</f>
        <v>233854642.57106209</v>
      </c>
      <c r="L103" s="624">
        <f>L96*(1+'MSCOA - Tariff Structure'!$U$2)</f>
        <v>213695364.12106845</v>
      </c>
      <c r="M103" s="624">
        <f>M96*(1+'MSCOA - Tariff Structure'!$U$2)</f>
        <v>214534502.38017574</v>
      </c>
      <c r="N103" s="624">
        <f>N96*(1+'MSCOA - Tariff Structure'!$U$2)</f>
        <v>213768860.800354</v>
      </c>
      <c r="O103" s="624">
        <f>O96*(1+'MSCOA - Tariff Structure'!$U$2)</f>
        <v>216498689.30154797</v>
      </c>
      <c r="P103" s="624">
        <f>P96*(1+'MSCOA - Tariff Structure'!$U$2)</f>
        <v>204385455.33061853</v>
      </c>
      <c r="Q103" s="624">
        <f>Q96*(1+'MSCOA - Tariff Structure'!$U$2)</f>
        <v>129433402.64838265</v>
      </c>
      <c r="R103" s="624">
        <f>R96*(1+'MSCOA - Tariff Structure'!$U$2)</f>
        <v>103370046.23331439</v>
      </c>
      <c r="S103" s="624">
        <f>S96*(1+'MSCOA - Tariff Structure'!$U$2)</f>
        <v>104239602.74561934</v>
      </c>
      <c r="T103" s="624">
        <f>T96*(1+'MSCOA - Tariff Structure'!$U$2)</f>
        <v>177448683.82244083</v>
      </c>
      <c r="U103" s="880">
        <f>U96*(1+'MSCOA - Tariff Structure'!$U$2)</f>
        <v>220511737.86975333</v>
      </c>
      <c r="V103" s="866">
        <f>SUM(J103:U103)</f>
        <v>2281558095.4070349</v>
      </c>
      <c r="W103" s="869"/>
    </row>
    <row r="104" spans="1:23" x14ac:dyDescent="0.35">
      <c r="A104" s="330"/>
      <c r="B104" s="330"/>
      <c r="I104" s="863" t="s">
        <v>297</v>
      </c>
      <c r="J104" s="863">
        <f>J97*(1+'MSCOA - Tariff Structure'!$U$2)</f>
        <v>339050486.40671808</v>
      </c>
      <c r="K104" s="624">
        <f>K97*(1+'MSCOA - Tariff Structure'!$U$2)</f>
        <v>309497395.31535661</v>
      </c>
      <c r="L104" s="624">
        <f>L97*(1+'MSCOA - Tariff Structure'!$U$2)</f>
        <v>210638316.12227681</v>
      </c>
      <c r="M104" s="624">
        <f>M97*(1+'MSCOA - Tariff Structure'!$U$2)</f>
        <v>211790839.90551266</v>
      </c>
      <c r="N104" s="624">
        <f>N97*(1+'MSCOA - Tariff Structure'!$U$2)</f>
        <v>205064380.78613672</v>
      </c>
      <c r="O104" s="624">
        <f>O97*(1+'MSCOA - Tariff Structure'!$U$2)</f>
        <v>200969521.98990586</v>
      </c>
      <c r="P104" s="624">
        <f>P97*(1+'MSCOA - Tariff Structure'!$U$2)</f>
        <v>213448855.45815909</v>
      </c>
      <c r="Q104" s="624">
        <f>Q97*(1+'MSCOA - Tariff Structure'!$U$2)</f>
        <v>211895058.76591671</v>
      </c>
      <c r="R104" s="624">
        <f>R97*(1+'MSCOA - Tariff Structure'!$U$2)</f>
        <v>160453223.94911355</v>
      </c>
      <c r="S104" s="624">
        <f>S97*(1+'MSCOA - Tariff Structure'!$U$2)</f>
        <v>154724758.34550163</v>
      </c>
      <c r="T104" s="624">
        <f>T97*(1+'MSCOA - Tariff Structure'!$U$2)</f>
        <v>164361485.27839741</v>
      </c>
      <c r="U104" s="880">
        <f>U97*(1+'MSCOA - Tariff Structure'!$U$2)</f>
        <v>244632822.23207638</v>
      </c>
      <c r="V104" s="866">
        <f>SUM(J104:U104)</f>
        <v>2626527144.5550718</v>
      </c>
      <c r="W104" s="869"/>
    </row>
    <row r="105" spans="1:23" x14ac:dyDescent="0.35">
      <c r="A105" s="330"/>
      <c r="B105" s="330"/>
      <c r="I105" s="863" t="s">
        <v>298</v>
      </c>
      <c r="J105" s="863">
        <f>J98*(1+'MSCOA - Tariff Structure'!$U$2)</f>
        <v>6855066.1872909423</v>
      </c>
      <c r="K105" s="624">
        <f>K98*(1+'MSCOA - Tariff Structure'!$U$2)</f>
        <v>6855066.1872909423</v>
      </c>
      <c r="L105" s="624">
        <f>L98*(1+'MSCOA - Tariff Structure'!$U$2)</f>
        <v>6854997.4942090893</v>
      </c>
      <c r="M105" s="624">
        <f>M98*(1+'MSCOA - Tariff Structure'!$U$2)</f>
        <v>6854997.4942090893</v>
      </c>
      <c r="N105" s="624">
        <f>N98*(1+'MSCOA - Tariff Structure'!$U$2)</f>
        <v>6854997.4942090893</v>
      </c>
      <c r="O105" s="624">
        <f>O98*(1+'MSCOA - Tariff Structure'!$U$2)</f>
        <v>6854997.4942090893</v>
      </c>
      <c r="P105" s="624">
        <f>P98*(1+'MSCOA - Tariff Structure'!$U$2)</f>
        <v>6854997.4942090893</v>
      </c>
      <c r="Q105" s="624">
        <f>Q98*(1+'MSCOA - Tariff Structure'!$U$2)</f>
        <v>6854997.4942090893</v>
      </c>
      <c r="R105" s="624">
        <f>R98*(1+'MSCOA - Tariff Structure'!$U$2)</f>
        <v>6854997.4942090893</v>
      </c>
      <c r="S105" s="624">
        <f>S98*(1+'MSCOA - Tariff Structure'!$U$2)</f>
        <v>6854997.4942090893</v>
      </c>
      <c r="T105" s="624">
        <f>T98*(1+'MSCOA - Tariff Structure'!$U$2)</f>
        <v>6854997.4942090893</v>
      </c>
      <c r="U105" s="880">
        <f>U98*(1+'MSCOA - Tariff Structure'!$U$2)</f>
        <v>6855066.1872909423</v>
      </c>
      <c r="V105" s="866">
        <f>SUM(J105:U105)</f>
        <v>82260176.009754628</v>
      </c>
      <c r="W105" s="869"/>
    </row>
    <row r="106" spans="1:23" x14ac:dyDescent="0.35">
      <c r="A106" s="330"/>
      <c r="B106" s="330"/>
      <c r="I106" s="626" t="s">
        <v>543</v>
      </c>
      <c r="J106" s="626">
        <f>J99*(1+'MSCOA - Tariff Structure'!$U$2)</f>
        <v>14593822.128817797</v>
      </c>
      <c r="K106" s="864">
        <f>K99*(1+'MSCOA - Tariff Structure'!$U$2)</f>
        <v>14626438.236982509</v>
      </c>
      <c r="L106" s="864">
        <f>L99*(1+'MSCOA - Tariff Structure'!$U$2)</f>
        <v>14172463.129579918</v>
      </c>
      <c r="M106" s="864">
        <f>M99*(1+'MSCOA - Tariff Structure'!$U$2)</f>
        <v>14652595.75556468</v>
      </c>
      <c r="N106" s="864">
        <f>N99*(1+'MSCOA - Tariff Structure'!$U$2)</f>
        <v>14241905.699214378</v>
      </c>
      <c r="O106" s="864">
        <f>O99*(1+'MSCOA - Tariff Structure'!$U$2)</f>
        <v>13977563.311946491</v>
      </c>
      <c r="P106" s="864">
        <f>P99*(1+'MSCOA - Tariff Structure'!$U$2)</f>
        <v>13998329.545932364</v>
      </c>
      <c r="Q106" s="864">
        <f>Q99*(1+'MSCOA - Tariff Structure'!$U$2)</f>
        <v>14105936.394768255</v>
      </c>
      <c r="R106" s="864">
        <f>R99*(1+'MSCOA - Tariff Structure'!$U$2)</f>
        <v>11017650.387860462</v>
      </c>
      <c r="S106" s="864">
        <f>S99*(1+'MSCOA - Tariff Structure'!$U$2)</f>
        <v>10612039.760004507</v>
      </c>
      <c r="T106" s="864">
        <f>T99*(1+'MSCOA - Tariff Structure'!$U$2)</f>
        <v>10649436.484558603</v>
      </c>
      <c r="U106" s="881">
        <f>U99*(1+'MSCOA - Tariff Structure'!$U$2)</f>
        <v>10665921.094488036</v>
      </c>
      <c r="V106" s="858">
        <f>SUM(J106:U106)</f>
        <v>157314101.92971802</v>
      </c>
      <c r="W106" s="869"/>
    </row>
    <row r="107" spans="1:23" x14ac:dyDescent="0.35">
      <c r="A107" s="330"/>
      <c r="B107" s="330"/>
      <c r="I107" s="1050"/>
      <c r="J107" s="869"/>
      <c r="K107" s="869"/>
      <c r="L107" s="869"/>
      <c r="M107" s="869"/>
      <c r="N107" s="869"/>
      <c r="O107" s="869"/>
      <c r="P107" s="869"/>
      <c r="Q107" s="869"/>
      <c r="R107" s="869"/>
      <c r="S107" s="869"/>
      <c r="T107" s="869"/>
      <c r="U107" s="869"/>
      <c r="V107" s="869"/>
      <c r="W107" s="869"/>
    </row>
    <row r="108" spans="1:23" ht="15.5" hidden="1" x14ac:dyDescent="0.35">
      <c r="A108" s="330"/>
      <c r="B108" s="330"/>
      <c r="I108" s="1049" t="s">
        <v>1947</v>
      </c>
      <c r="J108" s="869"/>
      <c r="K108" s="869"/>
      <c r="L108" s="869"/>
      <c r="M108" s="869"/>
      <c r="N108" s="869"/>
      <c r="O108" s="869"/>
      <c r="P108" s="869"/>
      <c r="Q108" s="869"/>
      <c r="R108" s="869"/>
      <c r="S108" s="869"/>
      <c r="T108" s="869"/>
      <c r="U108" s="869"/>
      <c r="V108" s="869"/>
      <c r="W108" s="869"/>
    </row>
    <row r="109" spans="1:23" ht="15" hidden="1" thickBot="1" x14ac:dyDescent="0.4">
      <c r="A109" s="330"/>
      <c r="B109" s="330"/>
      <c r="I109" s="1085" t="s">
        <v>295</v>
      </c>
      <c r="J109" s="1085">
        <f>SUM(J110:J113)</f>
        <v>654198237.38329172</v>
      </c>
      <c r="K109" s="1085">
        <f t="shared" ref="K109:T109" si="17">SUM(K110:K113)</f>
        <v>605445074.00283098</v>
      </c>
      <c r="L109" s="1085">
        <f t="shared" si="17"/>
        <v>477382606.89548123</v>
      </c>
      <c r="M109" s="1085">
        <f t="shared" si="17"/>
        <v>480032123.60046202</v>
      </c>
      <c r="N109" s="1085">
        <f t="shared" si="17"/>
        <v>471561122.1895901</v>
      </c>
      <c r="O109" s="1085">
        <f t="shared" si="17"/>
        <v>469814597.61142761</v>
      </c>
      <c r="P109" s="1085">
        <f t="shared" si="17"/>
        <v>470229278.98881841</v>
      </c>
      <c r="Q109" s="1085">
        <f t="shared" si="17"/>
        <v>388338002.82558233</v>
      </c>
      <c r="R109" s="1085">
        <f t="shared" si="17"/>
        <v>301949854.57333487</v>
      </c>
      <c r="S109" s="1085">
        <f t="shared" si="17"/>
        <v>296306815.88636416</v>
      </c>
      <c r="T109" s="1085">
        <f t="shared" si="17"/>
        <v>385149323.04102963</v>
      </c>
      <c r="U109" s="1085">
        <f>SUM(U110:U113)</f>
        <v>517369200.2404902</v>
      </c>
      <c r="V109" s="1085">
        <f>SUM(J109:U109)</f>
        <v>5517776237.2387028</v>
      </c>
      <c r="W109" s="869"/>
    </row>
    <row r="110" spans="1:23" ht="15" hidden="1" thickTop="1" x14ac:dyDescent="0.35">
      <c r="A110" s="330"/>
      <c r="B110" s="330"/>
      <c r="I110" s="1086" t="s">
        <v>296</v>
      </c>
      <c r="J110" s="1086">
        <f>J103*(1+'MSCOA - Tariff Structure'!$U$2)</f>
        <v>267778957.61789355</v>
      </c>
      <c r="K110" s="1087">
        <f>K103*(1+'MSCOA - Tariff Structure'!$U$2)</f>
        <v>250668791.37192148</v>
      </c>
      <c r="L110" s="1087">
        <f>L103*(1+'MSCOA - Tariff Structure'!$U$2)</f>
        <v>229060060.80137327</v>
      </c>
      <c r="M110" s="1087">
        <f>M103*(1+'MSCOA - Tariff Structure'!$U$2)</f>
        <v>229959533.1013104</v>
      </c>
      <c r="N110" s="1087">
        <f>N103*(1+'MSCOA - Tariff Structure'!$U$2)</f>
        <v>229138841.89189947</v>
      </c>
      <c r="O110" s="1087">
        <f>O103*(1+'MSCOA - Tariff Structure'!$U$2)</f>
        <v>232064945.06232929</v>
      </c>
      <c r="P110" s="1087">
        <f>P103*(1+'MSCOA - Tariff Structure'!$U$2)</f>
        <v>219080769.56889001</v>
      </c>
      <c r="Q110" s="1087">
        <f>Q103*(1+'MSCOA - Tariff Structure'!$U$2)</f>
        <v>138739664.29880136</v>
      </c>
      <c r="R110" s="1087">
        <f>R103*(1+'MSCOA - Tariff Structure'!$U$2)</f>
        <v>110802352.55748971</v>
      </c>
      <c r="S110" s="1087">
        <f>S103*(1+'MSCOA - Tariff Structure'!$U$2)</f>
        <v>111734430.18302938</v>
      </c>
      <c r="T110" s="1087">
        <f>T103*(1+'MSCOA - Tariff Structure'!$U$2)</f>
        <v>190207244.18927434</v>
      </c>
      <c r="U110" s="1110">
        <f>U103*(1+'MSCOA - Tariff Structure'!$U$2)</f>
        <v>236366531.82258862</v>
      </c>
      <c r="V110" s="1088">
        <f>SUM(J110:U110)</f>
        <v>2445602122.4668007</v>
      </c>
      <c r="W110" s="869"/>
    </row>
    <row r="111" spans="1:23" hidden="1" x14ac:dyDescent="0.35">
      <c r="A111" s="330"/>
      <c r="B111" s="330"/>
      <c r="I111" s="1086" t="s">
        <v>297</v>
      </c>
      <c r="J111" s="1086">
        <f>J104*(1+'MSCOA - Tariff Structure'!$U$2)</f>
        <v>363428216.37936115</v>
      </c>
      <c r="K111" s="1087">
        <f>K104*(1+'MSCOA - Tariff Structure'!$U$2)</f>
        <v>331750258.03853077</v>
      </c>
      <c r="L111" s="1087">
        <f>L104*(1+'MSCOA - Tariff Structure'!$U$2)</f>
        <v>225783211.05146852</v>
      </c>
      <c r="M111" s="1087">
        <f>M104*(1+'MSCOA - Tariff Structure'!$U$2)</f>
        <v>227018601.29471904</v>
      </c>
      <c r="N111" s="1087">
        <f>N104*(1+'MSCOA - Tariff Structure'!$U$2)</f>
        <v>219808509.76465997</v>
      </c>
      <c r="O111" s="1087">
        <f>O104*(1+'MSCOA - Tariff Structure'!$U$2)</f>
        <v>215419230.62098011</v>
      </c>
      <c r="P111" s="1087">
        <f>P104*(1+'MSCOA - Tariff Structure'!$U$2)</f>
        <v>228795828.16560075</v>
      </c>
      <c r="Q111" s="1087">
        <f>Q104*(1+'MSCOA - Tariff Structure'!$U$2)</f>
        <v>227130313.49118614</v>
      </c>
      <c r="R111" s="1087">
        <f>R104*(1+'MSCOA - Tariff Structure'!$U$2)</f>
        <v>171989810.75105482</v>
      </c>
      <c r="S111" s="1087">
        <f>S104*(1+'MSCOA - Tariff Structure'!$U$2)</f>
        <v>165849468.47054321</v>
      </c>
      <c r="T111" s="1087">
        <f>T104*(1+'MSCOA - Tariff Structure'!$U$2)</f>
        <v>176179076.06991419</v>
      </c>
      <c r="U111" s="1110">
        <f>U104*(1+'MSCOA - Tariff Structure'!$U$2)</f>
        <v>262221922.15056267</v>
      </c>
      <c r="V111" s="1088">
        <f>SUM(J111:U111)</f>
        <v>2815374446.2485819</v>
      </c>
      <c r="W111" s="869"/>
    </row>
    <row r="112" spans="1:23" hidden="1" x14ac:dyDescent="0.35">
      <c r="A112" s="330"/>
      <c r="B112" s="330"/>
      <c r="I112" s="1086" t="s">
        <v>298</v>
      </c>
      <c r="J112" s="1086">
        <f>J105*(1+'MSCOA - Tariff Structure'!$U$2)</f>
        <v>7347945.4461571611</v>
      </c>
      <c r="K112" s="1087">
        <f>K105*(1+'MSCOA - Tariff Structure'!$U$2)</f>
        <v>7347945.4461571611</v>
      </c>
      <c r="L112" s="1087">
        <f>L105*(1+'MSCOA - Tariff Structure'!$U$2)</f>
        <v>7347871.8140427237</v>
      </c>
      <c r="M112" s="1087">
        <f>M105*(1+'MSCOA - Tariff Structure'!$U$2)</f>
        <v>7347871.8140427237</v>
      </c>
      <c r="N112" s="1087">
        <f>N105*(1+'MSCOA - Tariff Structure'!$U$2)</f>
        <v>7347871.8140427237</v>
      </c>
      <c r="O112" s="1087">
        <f>O105*(1+'MSCOA - Tariff Structure'!$U$2)</f>
        <v>7347871.8140427237</v>
      </c>
      <c r="P112" s="1087">
        <f>P105*(1+'MSCOA - Tariff Structure'!$U$2)</f>
        <v>7347871.8140427237</v>
      </c>
      <c r="Q112" s="1087">
        <f>Q105*(1+'MSCOA - Tariff Structure'!$U$2)</f>
        <v>7347871.8140427237</v>
      </c>
      <c r="R112" s="1087">
        <f>R105*(1+'MSCOA - Tariff Structure'!$U$2)</f>
        <v>7347871.8140427237</v>
      </c>
      <c r="S112" s="1087">
        <f>S105*(1+'MSCOA - Tariff Structure'!$U$2)</f>
        <v>7347871.8140427237</v>
      </c>
      <c r="T112" s="1087">
        <f>T105*(1+'MSCOA - Tariff Structure'!$U$2)</f>
        <v>7347871.8140427237</v>
      </c>
      <c r="U112" s="1110">
        <f>U105*(1+'MSCOA - Tariff Structure'!$U$2)</f>
        <v>7347945.4461571611</v>
      </c>
      <c r="V112" s="1088">
        <f>SUM(J112:U112)</f>
        <v>88174682.664855987</v>
      </c>
      <c r="W112" s="869"/>
    </row>
    <row r="113" spans="1:24" hidden="1" x14ac:dyDescent="0.35">
      <c r="A113" s="330"/>
      <c r="B113" s="330"/>
      <c r="I113" s="1089" t="s">
        <v>543</v>
      </c>
      <c r="J113" s="1089">
        <f>J106*(1+'MSCOA - Tariff Structure'!$U$2)</f>
        <v>15643117.939879797</v>
      </c>
      <c r="K113" s="1090">
        <f>K106*(1+'MSCOA - Tariff Structure'!$U$2)</f>
        <v>15678079.146221554</v>
      </c>
      <c r="L113" s="1090">
        <f>L106*(1+'MSCOA - Tariff Structure'!$U$2)</f>
        <v>15191463.228596715</v>
      </c>
      <c r="M113" s="1090">
        <f>M106*(1+'MSCOA - Tariff Structure'!$U$2)</f>
        <v>15706117.390389781</v>
      </c>
      <c r="N113" s="1090">
        <f>N106*(1+'MSCOA - Tariff Structure'!$U$2)</f>
        <v>15265898.718987893</v>
      </c>
      <c r="O113" s="1090">
        <f>O106*(1+'MSCOA - Tariff Structure'!$U$2)</f>
        <v>14982550.114075445</v>
      </c>
      <c r="P113" s="1090">
        <f>P106*(1+'MSCOA - Tariff Structure'!$U$2)</f>
        <v>15004809.440284902</v>
      </c>
      <c r="Q113" s="1090">
        <f>Q106*(1+'MSCOA - Tariff Structure'!$U$2)</f>
        <v>15120153.221552093</v>
      </c>
      <c r="R113" s="1090">
        <f>R106*(1+'MSCOA - Tariff Structure'!$U$2)</f>
        <v>11809819.45074763</v>
      </c>
      <c r="S113" s="1090">
        <f>S106*(1+'MSCOA - Tariff Structure'!$U$2)</f>
        <v>11375045.418748831</v>
      </c>
      <c r="T113" s="1090">
        <f>T106*(1+'MSCOA - Tariff Structure'!$U$2)</f>
        <v>11415130.967798367</v>
      </c>
      <c r="U113" s="1111">
        <f>U106*(1+'MSCOA - Tariff Structure'!$U$2)</f>
        <v>11432800.821181726</v>
      </c>
      <c r="V113" s="1091">
        <f>SUM(J113:U113)</f>
        <v>168624985.85846472</v>
      </c>
      <c r="W113" s="869"/>
    </row>
    <row r="114" spans="1:24" x14ac:dyDescent="0.35">
      <c r="A114" s="330"/>
      <c r="B114" s="330"/>
      <c r="C114" s="330"/>
      <c r="D114" s="330"/>
      <c r="E114" s="330"/>
      <c r="F114" s="330"/>
      <c r="G114" s="330"/>
      <c r="H114" s="330"/>
      <c r="I114" s="330"/>
      <c r="J114" s="330"/>
      <c r="K114" s="330"/>
      <c r="L114" s="330"/>
      <c r="M114" s="330"/>
      <c r="N114" s="330"/>
      <c r="O114" s="330"/>
      <c r="P114" s="330"/>
      <c r="Q114" s="330"/>
      <c r="R114" s="330"/>
      <c r="S114" s="330"/>
      <c r="T114" s="330"/>
      <c r="U114" s="330"/>
      <c r="V114" s="330"/>
      <c r="W114" s="869"/>
      <c r="X114" s="330"/>
    </row>
  </sheetData>
  <pageMargins left="0.7" right="0.7" top="0.75" bottom="0.75" header="0.3" footer="0.3"/>
  <pageSetup paperSize="9" scale="46" orientation="landscape" r:id="rId1"/>
  <rowBreaks count="1" manualBreakCount="1">
    <brk id="72" max="22" man="1"/>
  </rowBreaks>
  <colBreaks count="1" manualBreakCount="1">
    <brk id="24"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45F0D-BF52-4816-A27E-EF0835544B61}">
  <sheetPr>
    <tabColor rgb="FF00FF00"/>
  </sheetPr>
  <dimension ref="A1:AB118"/>
  <sheetViews>
    <sheetView workbookViewId="0">
      <pane ySplit="1" topLeftCell="A88" activePane="bottomLeft" state="frozen"/>
      <selection pane="bottomLeft" activeCell="J95" sqref="J95"/>
    </sheetView>
  </sheetViews>
  <sheetFormatPr defaultColWidth="8.6328125" defaultRowHeight="14.5" x14ac:dyDescent="0.35"/>
  <cols>
    <col min="1" max="1" width="35.54296875" style="245" bestFit="1" customWidth="1"/>
    <col min="2" max="2" width="13.6328125" style="245" customWidth="1"/>
    <col min="3" max="3" width="56.54296875" style="245" hidden="1" customWidth="1"/>
    <col min="4" max="4" width="58" style="245" hidden="1" customWidth="1"/>
    <col min="5" max="5" width="56.54296875" style="245" hidden="1" customWidth="1"/>
    <col min="6" max="6" width="58.6328125" style="245" hidden="1" customWidth="1"/>
    <col min="7" max="7" width="21.6328125" style="245" hidden="1" customWidth="1"/>
    <col min="8" max="8" width="20.6328125" style="245" hidden="1" customWidth="1"/>
    <col min="9" max="9" width="15.81640625" style="587" customWidth="1"/>
    <col min="10" max="21" width="14.90625" style="594" bestFit="1" customWidth="1"/>
    <col min="22" max="22" width="16.90625" style="594" customWidth="1"/>
    <col min="23" max="23" width="14.90625" style="594" customWidth="1"/>
    <col min="24" max="24" width="14.453125" style="245" hidden="1" customWidth="1"/>
    <col min="25" max="25" width="8.6328125" style="245"/>
    <col min="26" max="26" width="15.6328125" style="245" bestFit="1" customWidth="1"/>
    <col min="27" max="27" width="14.36328125" style="245" bestFit="1" customWidth="1"/>
    <col min="28" max="28" width="15.453125" style="245" bestFit="1" customWidth="1"/>
    <col min="29" max="16384" width="8.6328125" style="245"/>
  </cols>
  <sheetData>
    <row r="1" spans="1:28" s="247" customFormat="1" x14ac:dyDescent="0.35">
      <c r="A1" s="247" t="s">
        <v>531</v>
      </c>
      <c r="B1" s="247" t="s">
        <v>532</v>
      </c>
      <c r="C1" s="247" t="s">
        <v>548</v>
      </c>
      <c r="D1" s="247" t="s">
        <v>549</v>
      </c>
      <c r="E1" s="247" t="s">
        <v>548</v>
      </c>
      <c r="F1" s="247" t="s">
        <v>549</v>
      </c>
      <c r="G1" s="247" t="s">
        <v>1429</v>
      </c>
      <c r="H1" s="247" t="s">
        <v>1429</v>
      </c>
      <c r="I1" s="585" t="s">
        <v>282</v>
      </c>
      <c r="J1" s="585" t="s">
        <v>521</v>
      </c>
      <c r="K1" s="585" t="s">
        <v>522</v>
      </c>
      <c r="L1" s="585" t="s">
        <v>523</v>
      </c>
      <c r="M1" s="585" t="s">
        <v>524</v>
      </c>
      <c r="N1" s="585" t="s">
        <v>525</v>
      </c>
      <c r="O1" s="585" t="s">
        <v>526</v>
      </c>
      <c r="P1" s="585" t="s">
        <v>527</v>
      </c>
      <c r="Q1" s="585" t="s">
        <v>528</v>
      </c>
      <c r="R1" s="585" t="s">
        <v>540</v>
      </c>
      <c r="S1" s="585" t="s">
        <v>541</v>
      </c>
      <c r="T1" s="585" t="s">
        <v>529</v>
      </c>
      <c r="U1" s="585" t="s">
        <v>530</v>
      </c>
      <c r="V1" s="586" t="s">
        <v>281</v>
      </c>
      <c r="W1" s="586" t="s">
        <v>280</v>
      </c>
    </row>
    <row r="2" spans="1:28" ht="15" thickBot="1" x14ac:dyDescent="0.4">
      <c r="A2" s="247" t="s">
        <v>1520</v>
      </c>
      <c r="I2" s="1060">
        <f>SUM(I3:I5)</f>
        <v>188938324.91246867</v>
      </c>
      <c r="J2" s="1031"/>
      <c r="K2" s="1031"/>
      <c r="L2" s="1031"/>
      <c r="M2" s="1031"/>
      <c r="N2" s="1031"/>
      <c r="O2" s="1031"/>
      <c r="P2" s="1031"/>
      <c r="Q2" s="1031"/>
      <c r="R2" s="1031"/>
      <c r="S2" s="1031"/>
      <c r="T2" s="1031"/>
      <c r="U2" s="1031"/>
      <c r="V2" s="611"/>
      <c r="W2" s="611"/>
    </row>
    <row r="3" spans="1:28" s="364" customFormat="1" ht="15" thickTop="1" x14ac:dyDescent="0.35">
      <c r="A3" s="1122" t="s">
        <v>309</v>
      </c>
      <c r="B3" s="1122" t="s">
        <v>307</v>
      </c>
      <c r="C3" s="1122" t="s">
        <v>824</v>
      </c>
      <c r="D3" s="1122" t="s">
        <v>825</v>
      </c>
      <c r="E3" s="1122" t="s">
        <v>824</v>
      </c>
      <c r="F3" s="1122" t="s">
        <v>825</v>
      </c>
      <c r="G3" s="1122"/>
      <c r="H3" s="1122"/>
      <c r="I3" s="1043">
        <f>SUM(J3:U3)</f>
        <v>66693310.991091214</v>
      </c>
      <c r="J3" s="1036">
        <f>'Tariff SUMMARY 26-27'!$B$6*'Annexure A'!$V$6*50</f>
        <v>6613021.2364548072</v>
      </c>
      <c r="K3" s="1036">
        <f>'Tariff SUMMARY 26-27'!$B$6*'Annexure A'!$V$6*50</f>
        <v>6613021.2364548072</v>
      </c>
      <c r="L3" s="1036">
        <f>'Tariff SUMMARY 26-27'!$B$6*'Annexure A'!$U$6*50</f>
        <v>5206027.4757474214</v>
      </c>
      <c r="M3" s="1036">
        <f>'Tariff SUMMARY 26-27'!$B$6*'Annexure A'!$U$6*50</f>
        <v>5206027.4757474214</v>
      </c>
      <c r="N3" s="1036">
        <f>'Tariff SUMMARY 26-27'!$B$6*'Annexure A'!$U$6*50</f>
        <v>5206027.4757474214</v>
      </c>
      <c r="O3" s="1036">
        <f>'Tariff SUMMARY 26-27'!$B$6*'Annexure A'!$U$6*50</f>
        <v>5206027.4757474214</v>
      </c>
      <c r="P3" s="1036">
        <f>'Tariff SUMMARY 26-27'!$B$6*'Annexure A'!$U$6*50</f>
        <v>5206027.4757474214</v>
      </c>
      <c r="Q3" s="1036">
        <f>'Tariff SUMMARY 26-27'!$B$6*'Annexure A'!$U$6*50</f>
        <v>5206027.4757474214</v>
      </c>
      <c r="R3" s="1036">
        <f>'Tariff SUMMARY 26-27'!$B$6*'Annexure A'!$U$6*50</f>
        <v>5206027.4757474214</v>
      </c>
      <c r="S3" s="1036">
        <f>'Tariff SUMMARY 26-27'!$B$6*'Annexure A'!$U$6*50</f>
        <v>5206027.4757474214</v>
      </c>
      <c r="T3" s="1036">
        <f>'Tariff SUMMARY 26-27'!$B$6*'Annexure A'!$U$6*50</f>
        <v>5206027.4757474214</v>
      </c>
      <c r="U3" s="1036">
        <f>'Tariff SUMMARY 26-27'!$B$6*'Annexure A'!$V$6*50</f>
        <v>6613021.2364548072</v>
      </c>
      <c r="V3" s="1036">
        <f>SUM(L3:T3)</f>
        <v>46854247.281726792</v>
      </c>
      <c r="W3" s="1036">
        <f>U3+J3+K3</f>
        <v>19839063.709364422</v>
      </c>
      <c r="Z3" s="1123">
        <f>V3+V7</f>
        <v>46854247.281726792</v>
      </c>
      <c r="AA3" s="1123">
        <f>W3+W7</f>
        <v>19839063.709364422</v>
      </c>
      <c r="AB3" s="1124">
        <f>SUM(Z3:AA3)</f>
        <v>66693310.991091214</v>
      </c>
    </row>
    <row r="4" spans="1:28" s="364" customFormat="1" x14ac:dyDescent="0.35">
      <c r="A4" s="1122" t="s">
        <v>309</v>
      </c>
      <c r="B4" s="1122" t="s">
        <v>307</v>
      </c>
      <c r="C4" s="1122" t="s">
        <v>824</v>
      </c>
      <c r="D4" s="1122" t="s">
        <v>825</v>
      </c>
      <c r="E4" s="1122" t="s">
        <v>824</v>
      </c>
      <c r="F4" s="1122" t="s">
        <v>825</v>
      </c>
      <c r="G4" s="1122"/>
      <c r="H4" s="1122"/>
      <c r="I4" s="1043">
        <f>SUM(J4:U4)</f>
        <v>76730080.044615135</v>
      </c>
      <c r="J4" s="1036">
        <f>('Tariff Rand Values 2025-26'!J4*'MSCOA - Tariff Structure'!$T$2)+'Tariff Rand Values 2025-26'!J4</f>
        <v>8738037.9938734453</v>
      </c>
      <c r="K4" s="1036">
        <f>('Tariff Rand Values 2025-26'!K4*'MSCOA - Tariff Structure'!$T$2)+'Tariff Rand Values 2025-26'!K4</f>
        <v>5045175.8273412585</v>
      </c>
      <c r="L4" s="1036">
        <f>('Tariff Rand Values 2025-26'!L4*'MSCOA - Tariff Structure'!$T$2)+'Tariff Rand Values 2025-26'!L4</f>
        <v>5264572.6963636111</v>
      </c>
      <c r="M4" s="1036">
        <f>('Tariff Rand Values 2025-26'!M4*'MSCOA - Tariff Structure'!$T$2)+'Tariff Rand Values 2025-26'!M4</f>
        <v>5160208.3512221081</v>
      </c>
      <c r="N4" s="1036">
        <f>('Tariff Rand Values 2025-26'!N4*'MSCOA - Tariff Structure'!$T$2)+'Tariff Rand Values 2025-26'!N4</f>
        <v>4349336.6977581363</v>
      </c>
      <c r="O4" s="1036">
        <f>('Tariff Rand Values 2025-26'!O4*'MSCOA - Tariff Structure'!$T$2)+'Tariff Rand Values 2025-26'!O4</f>
        <v>7770104.6540242853</v>
      </c>
      <c r="P4" s="1036">
        <f>('Tariff Rand Values 2025-26'!P4*'MSCOA - Tariff Structure'!$T$2)+'Tariff Rand Values 2025-26'!P4</f>
        <v>7214449.5812065732</v>
      </c>
      <c r="Q4" s="1036">
        <f>('Tariff Rand Values 2025-26'!Q4*'MSCOA - Tariff Structure'!$T$2)+'Tariff Rand Values 2025-26'!Q4</f>
        <v>7083512.2594885007</v>
      </c>
      <c r="R4" s="1036">
        <f>('Tariff Rand Values 2025-26'!R4*'MSCOA - Tariff Structure'!$T$2)+'Tariff Rand Values 2025-26'!R4</f>
        <v>6073582.4308658466</v>
      </c>
      <c r="S4" s="1036">
        <f>('Tariff Rand Values 2025-26'!S4*'MSCOA - Tariff Structure'!$T$2)+'Tariff Rand Values 2025-26'!S4</f>
        <v>5952749.6291878754</v>
      </c>
      <c r="T4" s="1036">
        <f>('Tariff Rand Values 2025-26'!T4*'MSCOA - Tariff Structure'!$T$2)+'Tariff Rand Values 2025-26'!T4</f>
        <v>6250752.3706287565</v>
      </c>
      <c r="U4" s="1036">
        <f>('Tariff Rand Values 2025-26'!U4*'MSCOA - Tariff Structure'!$T$2)+'Tariff Rand Values 2025-26'!U4</f>
        <v>7827597.5526547236</v>
      </c>
      <c r="V4" s="1036">
        <f>SUM(L4:T4)</f>
        <v>55119268.670745693</v>
      </c>
      <c r="W4" s="1036">
        <f>U4+J4+K4</f>
        <v>21610811.373869427</v>
      </c>
      <c r="X4" s="364">
        <f>+W4+V4+V5+W5+V8+V9+W8+W9</f>
        <v>122245013.92137747</v>
      </c>
    </row>
    <row r="5" spans="1:28" s="364" customFormat="1" x14ac:dyDescent="0.35">
      <c r="A5" s="1122" t="s">
        <v>309</v>
      </c>
      <c r="B5" s="1122" t="s">
        <v>307</v>
      </c>
      <c r="C5" s="1122" t="s">
        <v>824</v>
      </c>
      <c r="D5" s="1122" t="s">
        <v>825</v>
      </c>
      <c r="E5" s="1122"/>
      <c r="F5" s="1122"/>
      <c r="G5" s="1122"/>
      <c r="H5" s="1122"/>
      <c r="I5" s="1043">
        <f>SUM(J5:U5)</f>
        <v>45514933.876762345</v>
      </c>
      <c r="J5" s="1036">
        <f>('Tariff Rand Values 2025-26'!J5*'MSCOA - Tariff Structure'!$T$2)+'Tariff Rand Values 2025-26'!J5</f>
        <v>7844142.6993005089</v>
      </c>
      <c r="K5" s="1036">
        <f>('Tariff Rand Values 2025-26'!K5*'MSCOA - Tariff Structure'!$T$2)+'Tariff Rand Values 2025-26'!K5</f>
        <v>896827.12965328153</v>
      </c>
      <c r="L5" s="1036">
        <f>('Tariff Rand Values 2025-26'!L5*'MSCOA - Tariff Structure'!$T$2)+'Tariff Rand Values 2025-26'!L5</f>
        <v>2868194.7627280718</v>
      </c>
      <c r="M5" s="1036">
        <f>('Tariff Rand Values 2025-26'!M5*'MSCOA - Tariff Structure'!$T$2)+'Tariff Rand Values 2025-26'!M5</f>
        <v>3173028.4622460334</v>
      </c>
      <c r="N5" s="1036">
        <f>('Tariff Rand Values 2025-26'!N5*'MSCOA - Tariff Structure'!$T$2)+'Tariff Rand Values 2025-26'!N5</f>
        <v>3158192.6394445598</v>
      </c>
      <c r="O5" s="1036">
        <f>('Tariff Rand Values 2025-26'!O5*'MSCOA - Tariff Structure'!$T$2)+'Tariff Rand Values 2025-26'!O5</f>
        <v>4543942.0295400927</v>
      </c>
      <c r="P5" s="1036">
        <f>('Tariff Rand Values 2025-26'!P5*'MSCOA - Tariff Structure'!$T$2)+'Tariff Rand Values 2025-26'!P5</f>
        <v>4218977.7067876458</v>
      </c>
      <c r="Q5" s="1036">
        <f>('Tariff Rand Values 2025-26'!Q5*'MSCOA - Tariff Structure'!$T$2)+'Tariff Rand Values 2025-26'!Q5</f>
        <v>4142915.9400638714</v>
      </c>
      <c r="R5" s="1036">
        <f>('Tariff Rand Values 2025-26'!R5*'MSCOA - Tariff Structure'!$T$2)+'Tariff Rand Values 2025-26'!R5</f>
        <v>3552118.7649191027</v>
      </c>
      <c r="S5" s="1036">
        <f>('Tariff Rand Values 2025-26'!S5*'MSCOA - Tariff Structure'!$T$2)+'Tariff Rand Values 2025-26'!S5</f>
        <v>3481353.3133199792</v>
      </c>
      <c r="T5" s="1036">
        <f>('Tariff Rand Values 2025-26'!T5*'MSCOA - Tariff Structure'!$T$2)+'Tariff Rand Values 2025-26'!T5</f>
        <v>3655536.0624256507</v>
      </c>
      <c r="U5" s="1036">
        <f>('Tariff Rand Values 2025-26'!U5*'MSCOA - Tariff Structure'!$T$2)+'Tariff Rand Values 2025-26'!U5</f>
        <v>3979704.3663335438</v>
      </c>
      <c r="V5" s="1036">
        <f>SUM(L5:T5)</f>
        <v>32794259.681475006</v>
      </c>
      <c r="W5" s="1036">
        <f>U5+J5+K5</f>
        <v>12720674.195287336</v>
      </c>
    </row>
    <row r="6" spans="1:28" s="364" customFormat="1" ht="15" thickBot="1" x14ac:dyDescent="0.4">
      <c r="A6" s="359" t="s">
        <v>1521</v>
      </c>
      <c r="I6" s="1060">
        <f>SUM(I7:I9)</f>
        <v>0</v>
      </c>
      <c r="J6" s="1125"/>
      <c r="K6" s="1125"/>
      <c r="L6" s="1125"/>
      <c r="M6" s="1125"/>
      <c r="N6" s="1125"/>
      <c r="O6" s="1125"/>
      <c r="P6" s="1125"/>
      <c r="Q6" s="1125"/>
      <c r="R6" s="1125"/>
      <c r="S6" s="1125"/>
      <c r="T6" s="1125"/>
      <c r="U6" s="1125"/>
      <c r="V6" s="611">
        <f>V5+V4+V3</f>
        <v>134767775.63394749</v>
      </c>
      <c r="W6" s="611">
        <f>W5+W4+W3</f>
        <v>54170549.278521188</v>
      </c>
    </row>
    <row r="7" spans="1:28" s="364" customFormat="1" ht="15" thickTop="1" x14ac:dyDescent="0.35">
      <c r="A7" s="1122" t="s">
        <v>309</v>
      </c>
      <c r="B7" s="1122" t="s">
        <v>307</v>
      </c>
      <c r="C7" s="1122" t="s">
        <v>824</v>
      </c>
      <c r="D7" s="1122" t="s">
        <v>825</v>
      </c>
      <c r="E7" s="1122" t="s">
        <v>824</v>
      </c>
      <c r="F7" s="1122" t="s">
        <v>825</v>
      </c>
      <c r="G7" s="1122"/>
      <c r="H7" s="1122"/>
      <c r="I7" s="1043">
        <v>0</v>
      </c>
      <c r="J7" s="1043">
        <v>0</v>
      </c>
      <c r="K7" s="1043">
        <v>0</v>
      </c>
      <c r="L7" s="1043">
        <v>0</v>
      </c>
      <c r="M7" s="1043">
        <v>0</v>
      </c>
      <c r="N7" s="1043">
        <v>0</v>
      </c>
      <c r="O7" s="1043">
        <v>0</v>
      </c>
      <c r="P7" s="1043">
        <v>0</v>
      </c>
      <c r="Q7" s="1043">
        <v>0</v>
      </c>
      <c r="R7" s="1043">
        <v>0</v>
      </c>
      <c r="S7" s="1043">
        <v>0</v>
      </c>
      <c r="T7" s="1043">
        <v>0</v>
      </c>
      <c r="U7" s="1043">
        <v>0</v>
      </c>
      <c r="V7" s="1043">
        <v>0</v>
      </c>
      <c r="W7" s="1036">
        <f>U7+J7+K7</f>
        <v>0</v>
      </c>
      <c r="X7" s="364">
        <f>+W7+V7</f>
        <v>0</v>
      </c>
    </row>
    <row r="8" spans="1:28" s="364" customFormat="1" x14ac:dyDescent="0.35">
      <c r="A8" s="1122" t="s">
        <v>309</v>
      </c>
      <c r="B8" s="1122" t="s">
        <v>307</v>
      </c>
      <c r="C8" s="1122" t="s">
        <v>824</v>
      </c>
      <c r="D8" s="1122" t="s">
        <v>825</v>
      </c>
      <c r="E8" s="1122" t="s">
        <v>824</v>
      </c>
      <c r="F8" s="1122" t="s">
        <v>825</v>
      </c>
      <c r="G8" s="1122"/>
      <c r="H8" s="1122"/>
      <c r="I8" s="1043">
        <v>0</v>
      </c>
      <c r="J8" s="1043">
        <v>0</v>
      </c>
      <c r="K8" s="1043">
        <v>0</v>
      </c>
      <c r="L8" s="1043">
        <v>0</v>
      </c>
      <c r="M8" s="1043">
        <v>0</v>
      </c>
      <c r="N8" s="1043">
        <v>0</v>
      </c>
      <c r="O8" s="1043">
        <v>0</v>
      </c>
      <c r="P8" s="1043">
        <v>0</v>
      </c>
      <c r="Q8" s="1043">
        <v>0</v>
      </c>
      <c r="R8" s="1043">
        <v>0</v>
      </c>
      <c r="S8" s="1043">
        <v>0</v>
      </c>
      <c r="T8" s="1043">
        <v>0</v>
      </c>
      <c r="U8" s="1043">
        <v>0</v>
      </c>
      <c r="V8" s="1043">
        <v>0</v>
      </c>
      <c r="W8" s="1036">
        <f>U8+J8+K8</f>
        <v>0</v>
      </c>
      <c r="X8" s="364">
        <f>+V8+W8</f>
        <v>0</v>
      </c>
    </row>
    <row r="9" spans="1:28" s="364" customFormat="1" x14ac:dyDescent="0.35">
      <c r="A9" s="1122" t="s">
        <v>309</v>
      </c>
      <c r="B9" s="1122" t="s">
        <v>307</v>
      </c>
      <c r="C9" s="1122" t="s">
        <v>824</v>
      </c>
      <c r="D9" s="1122" t="s">
        <v>825</v>
      </c>
      <c r="E9" s="1122"/>
      <c r="F9" s="1122"/>
      <c r="G9" s="1122"/>
      <c r="H9" s="1122"/>
      <c r="I9" s="1043">
        <v>0</v>
      </c>
      <c r="J9" s="1043">
        <v>0</v>
      </c>
      <c r="K9" s="1043">
        <v>0</v>
      </c>
      <c r="L9" s="1043">
        <v>0</v>
      </c>
      <c r="M9" s="1043">
        <v>0</v>
      </c>
      <c r="N9" s="1043">
        <v>0</v>
      </c>
      <c r="O9" s="1043">
        <v>0</v>
      </c>
      <c r="P9" s="1043">
        <v>0</v>
      </c>
      <c r="Q9" s="1043">
        <v>0</v>
      </c>
      <c r="R9" s="1043">
        <v>0</v>
      </c>
      <c r="S9" s="1043">
        <v>0</v>
      </c>
      <c r="T9" s="1043">
        <v>0</v>
      </c>
      <c r="U9" s="1043">
        <v>0</v>
      </c>
      <c r="V9" s="1043">
        <v>0</v>
      </c>
      <c r="W9" s="1036">
        <f>U9+J9+K9</f>
        <v>0</v>
      </c>
      <c r="X9" s="364">
        <f>+V9+W9</f>
        <v>0</v>
      </c>
    </row>
    <row r="10" spans="1:28" s="364" customFormat="1" ht="15" thickBot="1" x14ac:dyDescent="0.4">
      <c r="A10" s="359" t="s">
        <v>1484</v>
      </c>
      <c r="I10" s="1060">
        <f>SUM(I11:I13)</f>
        <v>1910528638.7970724</v>
      </c>
      <c r="J10" s="1125"/>
      <c r="K10" s="1125"/>
      <c r="L10" s="1125"/>
      <c r="M10" s="1125"/>
      <c r="N10" s="1125"/>
      <c r="O10" s="1125"/>
      <c r="P10" s="1125"/>
      <c r="Q10" s="1125"/>
      <c r="R10" s="1125"/>
      <c r="S10" s="1125"/>
      <c r="T10" s="1125"/>
      <c r="U10" s="1125"/>
      <c r="V10" s="611">
        <f>V9+V8+V7</f>
        <v>0</v>
      </c>
      <c r="W10" s="611">
        <f>W9+W8+W7</f>
        <v>0</v>
      </c>
      <c r="X10" s="364">
        <f>+X9+X8</f>
        <v>0</v>
      </c>
    </row>
    <row r="11" spans="1:28" s="364" customFormat="1" ht="15" thickTop="1" x14ac:dyDescent="0.35">
      <c r="A11" s="1135" t="s">
        <v>255</v>
      </c>
      <c r="B11" s="1135"/>
      <c r="C11" s="1135"/>
      <c r="D11" s="1135"/>
      <c r="E11" s="1135"/>
      <c r="F11" s="1135"/>
      <c r="G11" s="1135"/>
      <c r="H11" s="1135"/>
      <c r="I11" s="1113">
        <f>SUM(J11:U11)</f>
        <v>91995000</v>
      </c>
      <c r="J11" s="1113">
        <f>'Tariff SUMMARY 26-27'!$B$9*'Annexure A'!$V$13</f>
        <v>7666250</v>
      </c>
      <c r="K11" s="1113">
        <f>'Tariff SUMMARY 26-27'!$B$9*'Annexure A'!$V$13</f>
        <v>7666250</v>
      </c>
      <c r="L11" s="1113">
        <f>'Tariff SUMMARY 26-27'!$B$9*'Annexure A'!$U$13</f>
        <v>7666250</v>
      </c>
      <c r="M11" s="1113">
        <f>'Tariff SUMMARY 26-27'!$B$9*'Annexure A'!$U$13</f>
        <v>7666250</v>
      </c>
      <c r="N11" s="1113">
        <f>'Tariff SUMMARY 26-27'!$B$9*'Annexure A'!$U$13</f>
        <v>7666250</v>
      </c>
      <c r="O11" s="1113">
        <f>'Tariff SUMMARY 26-27'!$B$9*'Annexure A'!$U$13</f>
        <v>7666250</v>
      </c>
      <c r="P11" s="1113">
        <f>'Tariff SUMMARY 26-27'!$B$9*'Annexure A'!$U$13</f>
        <v>7666250</v>
      </c>
      <c r="Q11" s="1113">
        <f>'Tariff SUMMARY 26-27'!$B$9*'Annexure A'!$U$13</f>
        <v>7666250</v>
      </c>
      <c r="R11" s="1113">
        <f>'Tariff SUMMARY 26-27'!$B$9*'Annexure A'!$U$13</f>
        <v>7666250</v>
      </c>
      <c r="S11" s="1113">
        <f>'Tariff SUMMARY 26-27'!$B$9*'Annexure A'!$U$13</f>
        <v>7666250</v>
      </c>
      <c r="T11" s="1113">
        <f>'Tariff SUMMARY 26-27'!$B$9*'Annexure A'!$U$13</f>
        <v>7666250</v>
      </c>
      <c r="U11" s="1113">
        <f>'Tariff SUMMARY 26-27'!$B$9*'Annexure A'!$V$13</f>
        <v>7666250</v>
      </c>
      <c r="V11" s="1113">
        <f>SUM(L11:T11)</f>
        <v>68996250</v>
      </c>
      <c r="W11" s="1113">
        <f>U11+J11+K11</f>
        <v>22998750</v>
      </c>
    </row>
    <row r="12" spans="1:28" s="364" customFormat="1" x14ac:dyDescent="0.35">
      <c r="A12" s="1122" t="s">
        <v>305</v>
      </c>
      <c r="B12" s="1122" t="s">
        <v>252</v>
      </c>
      <c r="C12" s="1122" t="s">
        <v>1042</v>
      </c>
      <c r="D12" s="1122" t="s">
        <v>1045</v>
      </c>
      <c r="E12" s="1122" t="s">
        <v>1042</v>
      </c>
      <c r="F12" s="1122" t="s">
        <v>1045</v>
      </c>
      <c r="G12" s="1122"/>
      <c r="H12" s="1122"/>
      <c r="I12" s="1043">
        <f>SUM(J12:U12)</f>
        <v>1383763297.4664774</v>
      </c>
      <c r="J12" s="1036">
        <f>('Tariff Rand Values 2025-26'!J11*'MSCOA - Tariff Structure'!$T$2)+'Tariff Rand Values 2025-26'!J11</f>
        <v>154609435.65241355</v>
      </c>
      <c r="K12" s="1036">
        <f>('Tariff Rand Values 2025-26'!K11*'MSCOA - Tariff Structure'!$T$2)+'Tariff Rand Values 2025-26'!K11</f>
        <v>151392396.54667145</v>
      </c>
      <c r="L12" s="1036">
        <f>('Tariff Rand Values 2025-26'!L11*'MSCOA - Tariff Structure'!$T$2)+'Tariff Rand Values 2025-26'!L11</f>
        <v>141176493.45969284</v>
      </c>
      <c r="M12" s="1036">
        <f>('Tariff Rand Values 2025-26'!M11*'MSCOA - Tariff Structure'!$T$2)+'Tariff Rand Values 2025-26'!M11</f>
        <v>142018639.55598828</v>
      </c>
      <c r="N12" s="1036">
        <f>('Tariff Rand Values 2025-26'!N11*'MSCOA - Tariff Structure'!$T$2)+'Tariff Rand Values 2025-26'!N11</f>
        <v>142467037.16626158</v>
      </c>
      <c r="O12" s="1036">
        <f>('Tariff Rand Values 2025-26'!O11*'MSCOA - Tariff Structure'!$T$2)+'Tariff Rand Values 2025-26'!O11</f>
        <v>139192352.29357553</v>
      </c>
      <c r="P12" s="1036">
        <f>('Tariff Rand Values 2025-26'!P11*'MSCOA - Tariff Structure'!$T$2)+'Tariff Rand Values 2025-26'!P11</f>
        <v>133013910.26340547</v>
      </c>
      <c r="Q12" s="1036">
        <f>('Tariff Rand Values 2025-26'!Q11*'MSCOA - Tariff Structure'!$T$2)+'Tariff Rand Values 2025-26'!Q11</f>
        <v>63999625.85451097</v>
      </c>
      <c r="R12" s="1036">
        <f>('Tariff Rand Values 2025-26'!R11*'MSCOA - Tariff Structure'!$T$2)+'Tariff Rand Values 2025-26'!R11</f>
        <v>49216531.26839073</v>
      </c>
      <c r="S12" s="1036">
        <f>('Tariff Rand Values 2025-26'!S11*'MSCOA - Tariff Structure'!$T$2)+'Tariff Rand Values 2025-26'!S11</f>
        <v>47912499.484912574</v>
      </c>
      <c r="T12" s="1036">
        <f>('Tariff Rand Values 2025-26'!T11*'MSCOA - Tariff Structure'!$T$2)+'Tariff Rand Values 2025-26'!T11</f>
        <v>110465051.40383163</v>
      </c>
      <c r="U12" s="1036">
        <f>('Tariff Rand Values 2025-26'!U11*'MSCOA - Tariff Structure'!$T$2)+'Tariff Rand Values 2025-26'!U11</f>
        <v>108299324.51682262</v>
      </c>
      <c r="V12" s="1036">
        <f>SUM(L12:T12)</f>
        <v>969462140.7505697</v>
      </c>
      <c r="W12" s="1036">
        <f>U12+J12+K12</f>
        <v>414301156.71590763</v>
      </c>
    </row>
    <row r="13" spans="1:28" s="364" customFormat="1" x14ac:dyDescent="0.35">
      <c r="A13" s="1122" t="s">
        <v>305</v>
      </c>
      <c r="B13" s="1122" t="s">
        <v>252</v>
      </c>
      <c r="C13" s="1122" t="s">
        <v>1042</v>
      </c>
      <c r="D13" s="1122" t="s">
        <v>1045</v>
      </c>
      <c r="E13" s="1122" t="s">
        <v>1042</v>
      </c>
      <c r="F13" s="1122" t="s">
        <v>1045</v>
      </c>
      <c r="G13" s="1122"/>
      <c r="H13" s="1122"/>
      <c r="I13" s="1043">
        <f>SUM(J13:U13)</f>
        <v>434770341.33059514</v>
      </c>
      <c r="J13" s="1036">
        <f>('Tariff Rand Values 2025-26'!J12*'MSCOA - Tariff Structure'!$T$2)+'Tariff Rand Values 2025-26'!J12</f>
        <v>44365078.032295898</v>
      </c>
      <c r="K13" s="1036">
        <f>('Tariff Rand Values 2025-26'!K12*'MSCOA - Tariff Structure'!$T$2)+'Tariff Rand Values 2025-26'!K12</f>
        <v>43707569.695380315</v>
      </c>
      <c r="L13" s="1036">
        <f>('Tariff Rand Values 2025-26'!L12*'MSCOA - Tariff Structure'!$T$2)+'Tariff Rand Values 2025-26'!L12</f>
        <v>34227301.557724595</v>
      </c>
      <c r="M13" s="1036">
        <f>('Tariff Rand Values 2025-26'!M12*'MSCOA - Tariff Structure'!$T$2)+'Tariff Rand Values 2025-26'!M12</f>
        <v>32948118.37756484</v>
      </c>
      <c r="N13" s="1036">
        <f>('Tariff Rand Values 2025-26'!N12*'MSCOA - Tariff Structure'!$T$2)+'Tariff Rand Values 2025-26'!N12</f>
        <v>33002348.579616383</v>
      </c>
      <c r="O13" s="1036">
        <f>('Tariff Rand Values 2025-26'!O12*'MSCOA - Tariff Structure'!$T$2)+'Tariff Rand Values 2025-26'!O12</f>
        <v>32638965.048839413</v>
      </c>
      <c r="P13" s="1036">
        <f>('Tariff Rand Values 2025-26'!P12*'MSCOA - Tariff Structure'!$T$2)+'Tariff Rand Values 2025-26'!P12</f>
        <v>30901270.9024176</v>
      </c>
      <c r="Q13" s="1036">
        <f>('Tariff Rand Values 2025-26'!Q12*'MSCOA - Tariff Structure'!$T$2)+'Tariff Rand Values 2025-26'!Q12</f>
        <v>29161106.669986457</v>
      </c>
      <c r="R13" s="1036">
        <f>('Tariff Rand Values 2025-26'!R12*'MSCOA - Tariff Structure'!$T$2)+'Tariff Rand Values 2025-26'!R12</f>
        <v>25149468.829286821</v>
      </c>
      <c r="S13" s="1036">
        <f>('Tariff Rand Values 2025-26'!S12*'MSCOA - Tariff Structure'!$T$2)+'Tariff Rand Values 2025-26'!S12</f>
        <v>26974895.479439948</v>
      </c>
      <c r="T13" s="1036">
        <f>('Tariff Rand Values 2025-26'!T12*'MSCOA - Tariff Structure'!$T$2)+'Tariff Rand Values 2025-26'!T12</f>
        <v>31137013.85525997</v>
      </c>
      <c r="U13" s="1036">
        <f>('Tariff Rand Values 2025-26'!U12*'MSCOA - Tariff Structure'!$T$2)+'Tariff Rand Values 2025-26'!U12</f>
        <v>70557204.302782893</v>
      </c>
      <c r="V13" s="1036">
        <f>SUM(L13:T13)</f>
        <v>276140489.30013603</v>
      </c>
      <c r="W13" s="1036">
        <f>U13+J13+K13</f>
        <v>158629852.03045911</v>
      </c>
    </row>
    <row r="14" spans="1:28" s="364" customFormat="1" ht="15" thickBot="1" x14ac:dyDescent="0.4">
      <c r="A14" s="359" t="s">
        <v>1483</v>
      </c>
      <c r="I14" s="1060">
        <f>SUM(I15:I17)</f>
        <v>26096967.559990466</v>
      </c>
      <c r="J14" s="611"/>
      <c r="K14" s="611"/>
      <c r="L14" s="611"/>
      <c r="M14" s="611"/>
      <c r="N14" s="611"/>
      <c r="O14" s="611"/>
      <c r="P14" s="611"/>
      <c r="Q14" s="611"/>
      <c r="R14" s="611"/>
      <c r="S14" s="611"/>
      <c r="T14" s="611"/>
      <c r="U14" s="611"/>
      <c r="V14" s="611">
        <f>+V13+V12</f>
        <v>1245602630.0507057</v>
      </c>
      <c r="W14" s="611">
        <f>+W13+W12</f>
        <v>572931008.74636674</v>
      </c>
    </row>
    <row r="15" spans="1:28" s="364" customFormat="1" ht="15" thickTop="1" x14ac:dyDescent="0.35">
      <c r="A15" s="1135" t="s">
        <v>255</v>
      </c>
      <c r="B15" s="1135"/>
      <c r="C15" s="1135"/>
      <c r="D15" s="1135"/>
      <c r="E15" s="1135"/>
      <c r="F15" s="1135"/>
      <c r="G15" s="1135"/>
      <c r="H15" s="1135"/>
      <c r="I15" s="1113">
        <f>SUM(J15:U15)</f>
        <v>69600</v>
      </c>
      <c r="J15" s="1113">
        <f>'Tariff SUMMARY 26-27'!$B$8*'Annexure A'!$U$20</f>
        <v>5800</v>
      </c>
      <c r="K15" s="1113">
        <f>'Tariff SUMMARY 26-27'!$B$8*'Annexure A'!$U$20</f>
        <v>5800</v>
      </c>
      <c r="L15" s="1113">
        <f>'Tariff SUMMARY 26-27'!$B$8*'Annexure A'!$V$13</f>
        <v>5800</v>
      </c>
      <c r="M15" s="1113">
        <f>'Tariff SUMMARY 26-27'!$B$8*'Annexure A'!$V$13</f>
        <v>5800</v>
      </c>
      <c r="N15" s="1113">
        <f>'Tariff SUMMARY 26-27'!$B$8*'Annexure A'!$V$13</f>
        <v>5800</v>
      </c>
      <c r="O15" s="1113">
        <f>'Tariff SUMMARY 26-27'!$B$8*'Annexure A'!$V$13</f>
        <v>5800</v>
      </c>
      <c r="P15" s="1113">
        <f>'Tariff SUMMARY 26-27'!$B$8*'Annexure A'!$V$13</f>
        <v>5800</v>
      </c>
      <c r="Q15" s="1113">
        <f>'Tariff SUMMARY 26-27'!$B$8*'Annexure A'!$V$13</f>
        <v>5800</v>
      </c>
      <c r="R15" s="1113">
        <f>'Tariff SUMMARY 26-27'!$B$8*'Annexure A'!$V$13</f>
        <v>5800</v>
      </c>
      <c r="S15" s="1113">
        <f>'Tariff SUMMARY 26-27'!$B$8*'Annexure A'!$V$13</f>
        <v>5800</v>
      </c>
      <c r="T15" s="1113">
        <f>'Tariff SUMMARY 26-27'!$B$8*'Annexure A'!$V$13</f>
        <v>5800</v>
      </c>
      <c r="U15" s="1113">
        <f>'Tariff SUMMARY 26-27'!$B$8*'Annexure A'!$U$20</f>
        <v>5800</v>
      </c>
      <c r="V15" s="1113">
        <f>SUM(L15:T15)</f>
        <v>52200</v>
      </c>
      <c r="W15" s="1113">
        <f>U15+J15+K15</f>
        <v>17400</v>
      </c>
    </row>
    <row r="16" spans="1:28" s="364" customFormat="1" x14ac:dyDescent="0.35">
      <c r="A16" s="1122" t="s">
        <v>305</v>
      </c>
      <c r="B16" s="1122" t="s">
        <v>252</v>
      </c>
      <c r="C16" s="1122" t="s">
        <v>1042</v>
      </c>
      <c r="D16" s="1122" t="s">
        <v>1045</v>
      </c>
      <c r="E16" s="1122"/>
      <c r="F16" s="1122"/>
      <c r="G16" s="1122"/>
      <c r="H16" s="1122"/>
      <c r="I16" s="1043">
        <f>SUM(J16:U16)</f>
        <v>6383813.7376382546</v>
      </c>
      <c r="J16" s="1036">
        <f>('Tariff Rand Values 2025-26'!J14*'MSCOA - Tariff Structure'!$T$2)+'Tariff Rand Values 2025-26'!J14</f>
        <v>744849.72732773144</v>
      </c>
      <c r="K16" s="1036">
        <f>('Tariff Rand Values 2025-26'!K14*'MSCOA - Tariff Structure'!$T$2)+'Tariff Rand Values 2025-26'!K14</f>
        <v>744849.72732773144</v>
      </c>
      <c r="L16" s="1036">
        <f>('Tariff Rand Values 2025-26'!L14*'MSCOA - Tariff Structure'!$T$2)+'Tariff Rand Values 2025-26'!L14</f>
        <v>551007.65158288891</v>
      </c>
      <c r="M16" s="1036">
        <f>('Tariff Rand Values 2025-26'!M14*'MSCOA - Tariff Structure'!$T$2)+'Tariff Rand Values 2025-26'!M14</f>
        <v>551007.65158288891</v>
      </c>
      <c r="N16" s="1036">
        <f>('Tariff Rand Values 2025-26'!N14*'MSCOA - Tariff Structure'!$T$2)+'Tariff Rand Values 2025-26'!N14</f>
        <v>551007.65158288891</v>
      </c>
      <c r="O16" s="1036">
        <f>('Tariff Rand Values 2025-26'!O14*'MSCOA - Tariff Structure'!$T$2)+'Tariff Rand Values 2025-26'!O14</f>
        <v>529249.61197929562</v>
      </c>
      <c r="P16" s="1036">
        <f>('Tariff Rand Values 2025-26'!P14*'MSCOA - Tariff Structure'!$T$2)+'Tariff Rand Values 2025-26'!P14</f>
        <v>529249.61197929562</v>
      </c>
      <c r="Q16" s="1036">
        <f>('Tariff Rand Values 2025-26'!Q14*'MSCOA - Tariff Structure'!$T$2)+'Tariff Rand Values 2025-26'!Q14</f>
        <v>523369.06073508109</v>
      </c>
      <c r="R16" s="1036">
        <f>('Tariff Rand Values 2025-26'!R14*'MSCOA - Tariff Structure'!$T$2)+'Tariff Rand Values 2025-26'!R14</f>
        <v>401182.37451004051</v>
      </c>
      <c r="S16" s="1036">
        <f>('Tariff Rand Values 2025-26'!S14*'MSCOA - Tariff Structure'!$T$2)+'Tariff Rand Values 2025-26'!S14</f>
        <v>401182.37451004051</v>
      </c>
      <c r="T16" s="1036">
        <f>('Tariff Rand Values 2025-26'!T14*'MSCOA - Tariff Structure'!$T$2)+'Tariff Rand Values 2025-26'!T14</f>
        <v>383151.70599273528</v>
      </c>
      <c r="U16" s="1036">
        <f>('Tariff Rand Values 2025-26'!U14*'MSCOA - Tariff Structure'!$T$2)+'Tariff Rand Values 2025-26'!U14</f>
        <v>473706.58852763678</v>
      </c>
      <c r="V16" s="1036">
        <f>SUM(L16:T16)</f>
        <v>4420407.6944551552</v>
      </c>
      <c r="W16" s="1036">
        <f>U16+J16+K16</f>
        <v>1963406.0431830997</v>
      </c>
    </row>
    <row r="17" spans="1:26" s="364" customFormat="1" x14ac:dyDescent="0.35">
      <c r="A17" s="1122" t="s">
        <v>305</v>
      </c>
      <c r="B17" s="1122" t="s">
        <v>252</v>
      </c>
      <c r="C17" s="1122" t="s">
        <v>1042</v>
      </c>
      <c r="D17" s="1122" t="s">
        <v>1045</v>
      </c>
      <c r="E17" s="1122"/>
      <c r="F17" s="1122"/>
      <c r="G17" s="1122"/>
      <c r="H17" s="1122"/>
      <c r="I17" s="1043">
        <f>SUM(J17:U17)</f>
        <v>19643553.822352212</v>
      </c>
      <c r="J17" s="1036">
        <f>('Tariff Rand Values 2025-26'!J15*'MSCOA - Tariff Structure'!$T$2)+'Tariff Rand Values 2025-26'!J15</f>
        <v>2349736.1214384269</v>
      </c>
      <c r="K17" s="1036">
        <f>('Tariff Rand Values 2025-26'!K15*'MSCOA - Tariff Structure'!$T$2)+'Tariff Rand Values 2025-26'!K15</f>
        <v>1286674.1860579869</v>
      </c>
      <c r="L17" s="1036">
        <f>('Tariff Rand Values 2025-26'!L15*'MSCOA - Tariff Structure'!$T$2)+'Tariff Rand Values 2025-26'!L15</f>
        <v>2441029.1783085614</v>
      </c>
      <c r="M17" s="1036">
        <f>('Tariff Rand Values 2025-26'!M15*'MSCOA - Tariff Structure'!$T$2)+'Tariff Rand Values 2025-26'!M15</f>
        <v>2421653.6228053821</v>
      </c>
      <c r="N17" s="1036">
        <f>('Tariff Rand Values 2025-26'!N15*'MSCOA - Tariff Structure'!$T$2)+'Tariff Rand Values 2025-26'!N15</f>
        <v>1901294.5435366123</v>
      </c>
      <c r="O17" s="1036">
        <f>('Tariff Rand Values 2025-26'!O15*'MSCOA - Tariff Structure'!$T$2)+'Tariff Rand Values 2025-26'!O15</f>
        <v>2029849.3821036734</v>
      </c>
      <c r="P17" s="1036">
        <f>('Tariff Rand Values 2025-26'!P15*'MSCOA - Tariff Structure'!$T$2)+'Tariff Rand Values 2025-26'!P15</f>
        <v>2308779.3082049591</v>
      </c>
      <c r="Q17" s="1036">
        <f>('Tariff Rand Values 2025-26'!Q15*'MSCOA - Tariff Structure'!$T$2)+'Tariff Rand Values 2025-26'!Q15</f>
        <v>998684.28207987559</v>
      </c>
      <c r="R17" s="1036">
        <f>('Tariff Rand Values 2025-26'!R15*'MSCOA - Tariff Structure'!$T$2)+'Tariff Rand Values 2025-26'!R15</f>
        <v>968190.47511644312</v>
      </c>
      <c r="S17" s="1036">
        <f>('Tariff Rand Values 2025-26'!S15*'MSCOA - Tariff Structure'!$T$2)+'Tariff Rand Values 2025-26'!S15</f>
        <v>953024.65884160472</v>
      </c>
      <c r="T17" s="1036">
        <f>('Tariff Rand Values 2025-26'!T15*'MSCOA - Tariff Structure'!$T$2)+'Tariff Rand Values 2025-26'!T15</f>
        <v>652952.07593788975</v>
      </c>
      <c r="U17" s="1036">
        <f>('Tariff Rand Values 2025-26'!U15*'MSCOA - Tariff Structure'!$T$2)+'Tariff Rand Values 2025-26'!U15</f>
        <v>1331685.9879207958</v>
      </c>
      <c r="V17" s="1036">
        <f>SUM(L17:T17)</f>
        <v>14675457.526935002</v>
      </c>
      <c r="W17" s="1036">
        <f>U17+J17+K17</f>
        <v>4968096.2954172092</v>
      </c>
    </row>
    <row r="18" spans="1:26" s="364" customFormat="1" ht="15" thickBot="1" x14ac:dyDescent="0.4">
      <c r="A18" s="359" t="s">
        <v>537</v>
      </c>
      <c r="I18" s="1060">
        <f>SUM(I19:I22)</f>
        <v>1158677.0653786785</v>
      </c>
      <c r="J18" s="1125"/>
      <c r="K18" s="1125"/>
      <c r="L18" s="1125"/>
      <c r="M18" s="1125"/>
      <c r="N18" s="1125"/>
      <c r="O18" s="1125"/>
      <c r="P18" s="1125"/>
      <c r="Q18" s="1125"/>
      <c r="R18" s="1125"/>
      <c r="S18" s="1125"/>
      <c r="T18" s="1125"/>
      <c r="U18" s="1125"/>
      <c r="V18" s="611">
        <f>+V17+V16</f>
        <v>19095865.221390158</v>
      </c>
      <c r="W18" s="611">
        <f>+W17+W16</f>
        <v>6931502.3386003086</v>
      </c>
    </row>
    <row r="19" spans="1:26" s="364" customFormat="1" ht="15" thickTop="1" x14ac:dyDescent="0.35">
      <c r="A19" s="1040" t="s">
        <v>371</v>
      </c>
      <c r="B19" s="1040" t="s">
        <v>371</v>
      </c>
      <c r="C19" s="1040" t="s">
        <v>838</v>
      </c>
      <c r="D19" s="1040" t="s">
        <v>838</v>
      </c>
      <c r="E19" s="1040" t="s">
        <v>839</v>
      </c>
      <c r="F19" s="1040" t="s">
        <v>839</v>
      </c>
      <c r="G19" s="1040"/>
      <c r="H19" s="1040"/>
      <c r="I19" s="1041">
        <f>SUM(J19:U19)</f>
        <v>269351.79961927439</v>
      </c>
      <c r="J19" s="1041">
        <f>'Tariff SUMMARY 26-27'!$B$10*'Annexure A'!$V$27</f>
        <v>22445.983301606197</v>
      </c>
      <c r="K19" s="1041">
        <f>'Tariff SUMMARY 26-27'!$B$10*'Annexure A'!$V$27</f>
        <v>22445.983301606197</v>
      </c>
      <c r="L19" s="1041">
        <f>'Tariff SUMMARY 26-27'!$B$10*'Annexure A'!$V$27</f>
        <v>22445.983301606197</v>
      </c>
      <c r="M19" s="1041">
        <f>'Tariff SUMMARY 26-27'!$B$10*'Annexure A'!$V$27</f>
        <v>22445.983301606197</v>
      </c>
      <c r="N19" s="1041">
        <f>'Tariff SUMMARY 26-27'!$B$10*'Annexure A'!$V$27</f>
        <v>22445.983301606197</v>
      </c>
      <c r="O19" s="1041">
        <f>'Tariff SUMMARY 26-27'!$B$10*'Annexure A'!$V$27</f>
        <v>22445.983301606197</v>
      </c>
      <c r="P19" s="1041">
        <f>'Tariff SUMMARY 26-27'!$B$10*'Annexure A'!$V$27</f>
        <v>22445.983301606197</v>
      </c>
      <c r="Q19" s="1041">
        <f>'Tariff SUMMARY 26-27'!$B$10*'Annexure A'!$V$27</f>
        <v>22445.983301606197</v>
      </c>
      <c r="R19" s="1041">
        <f>'Tariff SUMMARY 26-27'!$B$10*'Annexure A'!$V$27</f>
        <v>22445.983301606197</v>
      </c>
      <c r="S19" s="1041">
        <f>'Tariff SUMMARY 26-27'!$B$10*'Annexure A'!$V$27</f>
        <v>22445.983301606197</v>
      </c>
      <c r="T19" s="1041">
        <f>'Tariff SUMMARY 26-27'!$B$10*'Annexure A'!$V$27</f>
        <v>22445.983301606197</v>
      </c>
      <c r="U19" s="1041">
        <f>'Tariff SUMMARY 26-27'!$B$10*'Annexure A'!$V$27</f>
        <v>22445.983301606197</v>
      </c>
      <c r="V19" s="1041">
        <f>SUM(L19:T19)</f>
        <v>202013.84971445581</v>
      </c>
      <c r="W19" s="1041">
        <f>U19+J19+K19</f>
        <v>67337.949904818583</v>
      </c>
      <c r="X19" s="364">
        <f>+V23+W23</f>
        <v>1158677.0653786785</v>
      </c>
    </row>
    <row r="20" spans="1:26" s="364" customFormat="1" x14ac:dyDescent="0.35">
      <c r="A20" s="1038" t="s">
        <v>381</v>
      </c>
      <c r="B20" s="1038" t="s">
        <v>375</v>
      </c>
      <c r="C20" s="1038" t="s">
        <v>834</v>
      </c>
      <c r="D20" s="1038" t="s">
        <v>836</v>
      </c>
      <c r="E20" s="1122" t="s">
        <v>827</v>
      </c>
      <c r="F20" s="1122" t="s">
        <v>830</v>
      </c>
      <c r="G20" s="1122"/>
      <c r="H20" s="1122"/>
      <c r="I20" s="1043">
        <f>SUM(J20:U20)</f>
        <v>208361.29927682035</v>
      </c>
      <c r="J20" s="1036">
        <f>('Tariff Rand Values 2025-26'!J18*'MSCOA - Tariff Structure'!$T$2)+'Tariff Rand Values 2025-26'!J18</f>
        <v>36378.350680000003</v>
      </c>
      <c r="K20" s="1036">
        <f>('Tariff Rand Values 2025-26'!K18*'MSCOA - Tariff Structure'!$T$2)+'Tariff Rand Values 2025-26'!K18</f>
        <v>35608.560086400001</v>
      </c>
      <c r="L20" s="1036">
        <f>('Tariff Rand Values 2025-26'!L18*'MSCOA - Tariff Structure'!$T$2)+'Tariff Rand Values 2025-26'!L18</f>
        <v>13309.963019640001</v>
      </c>
      <c r="M20" s="1036">
        <f>('Tariff Rand Values 2025-26'!M18*'MSCOA - Tariff Structure'!$T$2)+'Tariff Rand Values 2025-26'!M18</f>
        <v>14029.881872440001</v>
      </c>
      <c r="N20" s="1036">
        <f>('Tariff Rand Values 2025-26'!N18*'MSCOA - Tariff Structure'!$T$2)+'Tariff Rand Values 2025-26'!N18</f>
        <v>12321.186345440001</v>
      </c>
      <c r="O20" s="1036">
        <f>('Tariff Rand Values 2025-26'!O18*'MSCOA - Tariff Structure'!$T$2)+'Tariff Rand Values 2025-26'!O18</f>
        <v>13519.18171576</v>
      </c>
      <c r="P20" s="1036">
        <f>('Tariff Rand Values 2025-26'!P18*'MSCOA - Tariff Structure'!$T$2)+'Tariff Rand Values 2025-26'!P18</f>
        <v>14842.915830119999</v>
      </c>
      <c r="Q20" s="1036">
        <f>('Tariff Rand Values 2025-26'!Q18*'MSCOA - Tariff Structure'!$T$2)+'Tariff Rand Values 2025-26'!Q18</f>
        <v>14491.07216704</v>
      </c>
      <c r="R20" s="1036">
        <f>('Tariff Rand Values 2025-26'!R18*'MSCOA - Tariff Structure'!$T$2)+'Tariff Rand Values 2025-26'!R18</f>
        <v>6572.0834252885606</v>
      </c>
      <c r="S20" s="1036">
        <f>('Tariff Rand Values 2025-26'!S18*'MSCOA - Tariff Structure'!$T$2)+'Tariff Rand Values 2025-26'!S18</f>
        <v>6601.5268549231951</v>
      </c>
      <c r="T20" s="1036">
        <f>('Tariff Rand Values 2025-26'!T18*'MSCOA - Tariff Structure'!$T$2)+'Tariff Rand Values 2025-26'!T18</f>
        <v>7650.6427424309404</v>
      </c>
      <c r="U20" s="1036">
        <f>('Tariff Rand Values 2025-26'!U18*'MSCOA - Tariff Structure'!$T$2)+'Tariff Rand Values 2025-26'!U18</f>
        <v>33035.934537337649</v>
      </c>
      <c r="V20" s="1036">
        <f>SUM(L20:T20)</f>
        <v>103338.45397308268</v>
      </c>
      <c r="W20" s="1036">
        <f>U20+J20+K20</f>
        <v>105022.84530373766</v>
      </c>
    </row>
    <row r="21" spans="1:26" s="364" customFormat="1" x14ac:dyDescent="0.35">
      <c r="A21" s="1038" t="s">
        <v>383</v>
      </c>
      <c r="B21" s="1038" t="s">
        <v>377</v>
      </c>
      <c r="C21" s="1038" t="s">
        <v>832</v>
      </c>
      <c r="D21" s="1038" t="s">
        <v>835</v>
      </c>
      <c r="E21" s="1122" t="s">
        <v>826</v>
      </c>
      <c r="F21" s="1122" t="s">
        <v>829</v>
      </c>
      <c r="G21" s="1122"/>
      <c r="H21" s="1122"/>
      <c r="I21" s="1043">
        <f>SUM(J21:U21)</f>
        <v>319611.61202960485</v>
      </c>
      <c r="J21" s="1036">
        <f>('Tariff Rand Values 2025-26'!J19*'MSCOA - Tariff Structure'!$T$2)+'Tariff Rand Values 2025-26'!J19</f>
        <v>56824.47638</v>
      </c>
      <c r="K21" s="1036">
        <f>('Tariff Rand Values 2025-26'!K19*'MSCOA - Tariff Structure'!$T$2)+'Tariff Rand Values 2025-26'!K19</f>
        <v>43443.804579559997</v>
      </c>
      <c r="L21" s="1036">
        <f>('Tariff Rand Values 2025-26'!L19*'MSCOA - Tariff Structure'!$T$2)+'Tariff Rand Values 2025-26'!L19</f>
        <v>24035.09865652</v>
      </c>
      <c r="M21" s="1036">
        <f>('Tariff Rand Values 2025-26'!M19*'MSCOA - Tariff Structure'!$T$2)+'Tariff Rand Values 2025-26'!M19</f>
        <v>23310.843984959996</v>
      </c>
      <c r="N21" s="1036">
        <f>('Tariff Rand Values 2025-26'!N19*'MSCOA - Tariff Structure'!$T$2)+'Tariff Rand Values 2025-26'!N19</f>
        <v>21597.553231240003</v>
      </c>
      <c r="O21" s="1036">
        <f>('Tariff Rand Values 2025-26'!O19*'MSCOA - Tariff Structure'!$T$2)+'Tariff Rand Values 2025-26'!O19</f>
        <v>26052.353775560001</v>
      </c>
      <c r="P21" s="1036">
        <f>('Tariff Rand Values 2025-26'!P19*'MSCOA - Tariff Structure'!$T$2)+'Tariff Rand Values 2025-26'!P19</f>
        <v>27941.659006520003</v>
      </c>
      <c r="Q21" s="1036">
        <f>('Tariff Rand Values 2025-26'!Q19*'MSCOA - Tariff Structure'!$T$2)+'Tariff Rand Values 2025-26'!Q19</f>
        <v>26623.1624624</v>
      </c>
      <c r="R21" s="1036">
        <f>('Tariff Rand Values 2025-26'!R19*'MSCOA - Tariff Structure'!$T$2)+'Tariff Rand Values 2025-26'!R19</f>
        <v>11506.493457579505</v>
      </c>
      <c r="S21" s="1036">
        <f>('Tariff Rand Values 2025-26'!S19*'MSCOA - Tariff Structure'!$T$2)+'Tariff Rand Values 2025-26'!S19</f>
        <v>10834.119067154279</v>
      </c>
      <c r="T21" s="1036">
        <f>('Tariff Rand Values 2025-26'!T19*'MSCOA - Tariff Structure'!$T$2)+'Tariff Rand Values 2025-26'!T19</f>
        <v>14192.504203081146</v>
      </c>
      <c r="U21" s="1036">
        <f>('Tariff Rand Values 2025-26'!U19*'MSCOA - Tariff Structure'!$T$2)+'Tariff Rand Values 2025-26'!U19</f>
        <v>33249.543225029884</v>
      </c>
      <c r="V21" s="1036">
        <f>SUM(L21:T21)</f>
        <v>186093.78784501494</v>
      </c>
      <c r="W21" s="1036">
        <f>U21+J21+K21</f>
        <v>133517.82418458987</v>
      </c>
    </row>
    <row r="22" spans="1:26" s="364" customFormat="1" x14ac:dyDescent="0.35">
      <c r="A22" s="1038" t="s">
        <v>379</v>
      </c>
      <c r="B22" s="1038" t="s">
        <v>373</v>
      </c>
      <c r="C22" s="1038" t="s">
        <v>833</v>
      </c>
      <c r="D22" s="1038" t="s">
        <v>837</v>
      </c>
      <c r="E22" s="1122" t="s">
        <v>828</v>
      </c>
      <c r="F22" s="1122" t="s">
        <v>831</v>
      </c>
      <c r="G22" s="1122"/>
      <c r="H22" s="1122"/>
      <c r="I22" s="1043">
        <f>SUM(J22:U22)</f>
        <v>361352.35445297894</v>
      </c>
      <c r="J22" s="1036">
        <f>('Tariff Rand Values 2025-26'!J20*'MSCOA - Tariff Structure'!$T$2)+'Tariff Rand Values 2025-26'!J20</f>
        <v>54888.423030000005</v>
      </c>
      <c r="K22" s="1036">
        <f>('Tariff Rand Values 2025-26'!K20*'MSCOA - Tariff Structure'!$T$2)+'Tariff Rand Values 2025-26'!K20</f>
        <v>49716.62257688</v>
      </c>
      <c r="L22" s="1036">
        <f>('Tariff Rand Values 2025-26'!L20*'MSCOA - Tariff Structure'!$T$2)+'Tariff Rand Values 2025-26'!L20</f>
        <v>26173.608467720001</v>
      </c>
      <c r="M22" s="1036">
        <f>('Tariff Rand Values 2025-26'!M20*'MSCOA - Tariff Structure'!$T$2)+'Tariff Rand Values 2025-26'!M20</f>
        <v>23468.205794600002</v>
      </c>
      <c r="N22" s="1036">
        <f>('Tariff Rand Values 2025-26'!N20*'MSCOA - Tariff Structure'!$T$2)+'Tariff Rand Values 2025-26'!N20</f>
        <v>25178.074833800005</v>
      </c>
      <c r="O22" s="1036">
        <f>('Tariff Rand Values 2025-26'!O20*'MSCOA - Tariff Structure'!$T$2)+'Tariff Rand Values 2025-26'!O20</f>
        <v>35188.467424319999</v>
      </c>
      <c r="P22" s="1036">
        <f>('Tariff Rand Values 2025-26'!P20*'MSCOA - Tariff Structure'!$T$2)+'Tariff Rand Values 2025-26'!P20</f>
        <v>33831.158508280001</v>
      </c>
      <c r="Q22" s="1036">
        <f>('Tariff Rand Values 2025-26'!Q20*'MSCOA - Tariff Structure'!$T$2)+'Tariff Rand Values 2025-26'!Q20</f>
        <v>32519.727742880001</v>
      </c>
      <c r="R22" s="1036">
        <f>('Tariff Rand Values 2025-26'!R20*'MSCOA - Tariff Structure'!$T$2)+'Tariff Rand Values 2025-26'!R20</f>
        <v>13781.628144191498</v>
      </c>
      <c r="S22" s="1036">
        <f>('Tariff Rand Values 2025-26'!S20*'MSCOA - Tariff Structure'!$T$2)+'Tariff Rand Values 2025-26'!S20</f>
        <v>13273.032116236815</v>
      </c>
      <c r="T22" s="1036">
        <f>('Tariff Rand Values 2025-26'!T20*'MSCOA - Tariff Structure'!$T$2)+'Tariff Rand Values 2025-26'!T20</f>
        <v>15249.052749437797</v>
      </c>
      <c r="U22" s="1036">
        <f>('Tariff Rand Values 2025-26'!U20*'MSCOA - Tariff Structure'!$T$2)+'Tariff Rand Values 2025-26'!U20</f>
        <v>38084.353064632829</v>
      </c>
      <c r="V22" s="1036">
        <f>SUM(L22:T22)</f>
        <v>218662.95578146612</v>
      </c>
      <c r="W22" s="1036">
        <f>U22+J22+K22</f>
        <v>142689.39867151284</v>
      </c>
    </row>
    <row r="23" spans="1:26" s="364" customFormat="1" ht="15" thickBot="1" x14ac:dyDescent="0.4">
      <c r="A23" s="359" t="s">
        <v>536</v>
      </c>
      <c r="B23" s="359"/>
      <c r="C23" s="359"/>
      <c r="D23" s="359"/>
      <c r="E23" s="359"/>
      <c r="F23" s="359"/>
      <c r="G23" s="359"/>
      <c r="H23" s="359"/>
      <c r="I23" s="1060">
        <f>SUM(I24:I27)</f>
        <v>41260457.994058296</v>
      </c>
      <c r="J23" s="1126"/>
      <c r="K23" s="1126"/>
      <c r="L23" s="1126"/>
      <c r="M23" s="1126"/>
      <c r="N23" s="1126"/>
      <c r="O23" s="1126"/>
      <c r="P23" s="1126"/>
      <c r="Q23" s="1126"/>
      <c r="R23" s="1126"/>
      <c r="S23" s="1126"/>
      <c r="T23" s="1126"/>
      <c r="U23" s="1126"/>
      <c r="V23" s="611">
        <f>+V22+V21+V20+V19</f>
        <v>710109.04731401952</v>
      </c>
      <c r="W23" s="611">
        <f>+W22+W21+W20+W19</f>
        <v>448568.01806465897</v>
      </c>
    </row>
    <row r="24" spans="1:26" s="364" customFormat="1" ht="15" thickTop="1" x14ac:dyDescent="0.35">
      <c r="A24" s="1040" t="s">
        <v>368</v>
      </c>
      <c r="B24" s="1040" t="s">
        <v>368</v>
      </c>
      <c r="C24" s="1040" t="s">
        <v>839</v>
      </c>
      <c r="D24" s="1040" t="s">
        <v>839</v>
      </c>
      <c r="E24" s="1040"/>
      <c r="F24" s="1040" t="s">
        <v>838</v>
      </c>
      <c r="G24" s="1040"/>
      <c r="H24" s="1040"/>
      <c r="I24" s="1041">
        <f>SUM(J24:U24)</f>
        <v>1901389.5996727671</v>
      </c>
      <c r="J24" s="1041">
        <f>'Tariff SUMMARY 26-27'!$B$11*'Annexure A'!$V$35</f>
        <v>158449.13330606389</v>
      </c>
      <c r="K24" s="1041">
        <f>'Tariff SUMMARY 26-27'!$B$11*'Annexure A'!$V$35</f>
        <v>158449.13330606389</v>
      </c>
      <c r="L24" s="1041">
        <f>'Tariff SUMMARY 26-27'!$B$11*'Annexure A'!$V$35</f>
        <v>158449.13330606389</v>
      </c>
      <c r="M24" s="1041">
        <f>'Tariff SUMMARY 26-27'!$B$11*'Annexure A'!$V$35</f>
        <v>158449.13330606389</v>
      </c>
      <c r="N24" s="1041">
        <f>'Tariff SUMMARY 26-27'!$B$11*'Annexure A'!$V$35</f>
        <v>158449.13330606389</v>
      </c>
      <c r="O24" s="1041">
        <f>'Tariff SUMMARY 26-27'!$B$11*'Annexure A'!$V$35</f>
        <v>158449.13330606389</v>
      </c>
      <c r="P24" s="1041">
        <f>'Tariff SUMMARY 26-27'!$B$11*'Annexure A'!$V$35</f>
        <v>158449.13330606389</v>
      </c>
      <c r="Q24" s="1041">
        <f>'Tariff SUMMARY 26-27'!$B$11*'Annexure A'!$V$35</f>
        <v>158449.13330606389</v>
      </c>
      <c r="R24" s="1041">
        <f>'Tariff SUMMARY 26-27'!$B$11*'Annexure A'!$V$35</f>
        <v>158449.13330606389</v>
      </c>
      <c r="S24" s="1041">
        <f>'Tariff SUMMARY 26-27'!$B$11*'Annexure A'!$V$35</f>
        <v>158449.13330606389</v>
      </c>
      <c r="T24" s="1041">
        <f>'Tariff SUMMARY 26-27'!$B$11*'Annexure A'!$V$35</f>
        <v>158449.13330606389</v>
      </c>
      <c r="U24" s="1041">
        <f>'Tariff SUMMARY 26-27'!$B$11*'Annexure A'!$V$35</f>
        <v>158449.13330606389</v>
      </c>
      <c r="V24" s="1041">
        <f>SUM(L24:T24)</f>
        <v>1426042.1997545753</v>
      </c>
      <c r="W24" s="1041">
        <f>U24+J24+K24</f>
        <v>475347.39991819166</v>
      </c>
    </row>
    <row r="25" spans="1:26" s="364" customFormat="1" x14ac:dyDescent="0.35">
      <c r="A25" s="1122" t="s">
        <v>364</v>
      </c>
      <c r="B25" s="1122" t="s">
        <v>358</v>
      </c>
      <c r="C25" s="1122" t="s">
        <v>827</v>
      </c>
      <c r="D25" s="1122" t="s">
        <v>830</v>
      </c>
      <c r="E25" s="1122"/>
      <c r="F25" s="1122" t="s">
        <v>836</v>
      </c>
      <c r="G25" s="1122"/>
      <c r="H25" s="1122"/>
      <c r="I25" s="1043">
        <f>SUM(J25:U25)</f>
        <v>10552686.255148819</v>
      </c>
      <c r="J25" s="1036">
        <f>('Tariff Rand Values 2025-26'!J23*'MSCOA - Tariff Structure'!$T$2)+'Tariff Rand Values 2025-26'!J23</f>
        <v>1990568.84632676</v>
      </c>
      <c r="K25" s="1036">
        <f>('Tariff Rand Values 2025-26'!K23*'MSCOA - Tariff Structure'!$T$2)+'Tariff Rand Values 2025-26'!K23</f>
        <v>1642158.6575942801</v>
      </c>
      <c r="L25" s="1036">
        <f>('Tariff Rand Values 2025-26'!L23*'MSCOA - Tariff Structure'!$T$2)+'Tariff Rand Values 2025-26'!L23</f>
        <v>688832.58873855998</v>
      </c>
      <c r="M25" s="1036">
        <f>('Tariff Rand Values 2025-26'!M23*'MSCOA - Tariff Structure'!$T$2)+'Tariff Rand Values 2025-26'!M23</f>
        <v>786240.68535964005</v>
      </c>
      <c r="N25" s="1036">
        <f>('Tariff Rand Values 2025-26'!N23*'MSCOA - Tariff Structure'!$T$2)+'Tariff Rand Values 2025-26'!N23</f>
        <v>629782.02306152007</v>
      </c>
      <c r="O25" s="1036">
        <f>('Tariff Rand Values 2025-26'!O23*'MSCOA - Tariff Structure'!$T$2)+'Tariff Rand Values 2025-26'!O23</f>
        <v>476197.2303774</v>
      </c>
      <c r="P25" s="1036">
        <f>('Tariff Rand Values 2025-26'!P23*'MSCOA - Tariff Structure'!$T$2)+'Tariff Rand Values 2025-26'!P23</f>
        <v>603025.48784939991</v>
      </c>
      <c r="Q25" s="1036">
        <f>('Tariff Rand Values 2025-26'!Q23*'MSCOA - Tariff Structure'!$T$2)+'Tariff Rand Values 2025-26'!Q23</f>
        <v>616393.65707415994</v>
      </c>
      <c r="R25" s="1036">
        <f>('Tariff Rand Values 2025-26'!R23*'MSCOA - Tariff Structure'!$T$2)+'Tariff Rand Values 2025-26'!R23</f>
        <v>506117.05887744494</v>
      </c>
      <c r="S25" s="1036">
        <f>('Tariff Rand Values 2025-26'!S23*'MSCOA - Tariff Structure'!$T$2)+'Tariff Rand Values 2025-26'!S23</f>
        <v>518827.20335029048</v>
      </c>
      <c r="T25" s="1036">
        <f>('Tariff Rand Values 2025-26'!T23*'MSCOA - Tariff Structure'!$T$2)+'Tariff Rand Values 2025-26'!T23</f>
        <v>645457.8214139709</v>
      </c>
      <c r="U25" s="1036">
        <f>('Tariff Rand Values 2025-26'!U23*'MSCOA - Tariff Structure'!$T$2)+'Tariff Rand Values 2025-26'!U23</f>
        <v>1449084.9951253906</v>
      </c>
      <c r="V25" s="1036">
        <f>SUM(L25:T25)</f>
        <v>5470873.7561023859</v>
      </c>
      <c r="W25" s="1036">
        <f>U25+J25+K25</f>
        <v>5081812.4990464309</v>
      </c>
    </row>
    <row r="26" spans="1:26" s="364" customFormat="1" x14ac:dyDescent="0.35">
      <c r="A26" s="1122" t="s">
        <v>366</v>
      </c>
      <c r="B26" s="1122" t="s">
        <v>360</v>
      </c>
      <c r="C26" s="1122" t="s">
        <v>826</v>
      </c>
      <c r="D26" s="1122" t="s">
        <v>829</v>
      </c>
      <c r="E26" s="1122"/>
      <c r="F26" s="1122" t="s">
        <v>835</v>
      </c>
      <c r="G26" s="1122"/>
      <c r="H26" s="1122"/>
      <c r="I26" s="1043">
        <f>SUM(J26:U26)</f>
        <v>14758989.240637161</v>
      </c>
      <c r="J26" s="1036">
        <f>('Tariff Rand Values 2025-26'!J24*'MSCOA - Tariff Structure'!$T$2)+'Tariff Rand Values 2025-26'!J24</f>
        <v>2159336.8116151998</v>
      </c>
      <c r="K26" s="1036">
        <f>('Tariff Rand Values 2025-26'!K24*'MSCOA - Tariff Structure'!$T$2)+'Tariff Rand Values 2025-26'!K24</f>
        <v>1867187.4288886001</v>
      </c>
      <c r="L26" s="1036">
        <f>('Tariff Rand Values 2025-26'!L24*'MSCOA - Tariff Structure'!$T$2)+'Tariff Rand Values 2025-26'!L24</f>
        <v>1121806.3877748</v>
      </c>
      <c r="M26" s="1036">
        <f>('Tariff Rand Values 2025-26'!M24*'MSCOA - Tariff Structure'!$T$2)+'Tariff Rand Values 2025-26'!M24</f>
        <v>1237955.3754078001</v>
      </c>
      <c r="N26" s="1036">
        <f>('Tariff Rand Values 2025-26'!N24*'MSCOA - Tariff Structure'!$T$2)+'Tariff Rand Values 2025-26'!N24</f>
        <v>1088871.0884799999</v>
      </c>
      <c r="O26" s="1036">
        <f>('Tariff Rand Values 2025-26'!O24*'MSCOA - Tariff Structure'!$T$2)+'Tariff Rand Values 2025-26'!O24</f>
        <v>868671.14695004013</v>
      </c>
      <c r="P26" s="1036">
        <f>('Tariff Rand Values 2025-26'!P24*'MSCOA - Tariff Structure'!$T$2)+'Tariff Rand Values 2025-26'!P24</f>
        <v>1059497.0528349199</v>
      </c>
      <c r="Q26" s="1036">
        <f>('Tariff Rand Values 2025-26'!Q24*'MSCOA - Tariff Structure'!$T$2)+'Tariff Rand Values 2025-26'!Q24</f>
        <v>1083072.12235628</v>
      </c>
      <c r="R26" s="1036">
        <f>('Tariff Rand Values 2025-26'!R24*'MSCOA - Tariff Structure'!$T$2)+'Tariff Rand Values 2025-26'!R24</f>
        <v>788358.95042219246</v>
      </c>
      <c r="S26" s="1036">
        <f>('Tariff Rand Values 2025-26'!S24*'MSCOA - Tariff Structure'!$T$2)+'Tariff Rand Values 2025-26'!S24</f>
        <v>791636.91527167731</v>
      </c>
      <c r="T26" s="1036">
        <f>('Tariff Rand Values 2025-26'!T24*'MSCOA - Tariff Structure'!$T$2)+'Tariff Rand Values 2025-26'!T24</f>
        <v>936957.04341405153</v>
      </c>
      <c r="U26" s="1036">
        <f>('Tariff Rand Values 2025-26'!U24*'MSCOA - Tariff Structure'!$T$2)+'Tariff Rand Values 2025-26'!U24</f>
        <v>1755638.9172216009</v>
      </c>
      <c r="V26" s="1036">
        <f>SUM(L26:T26)</f>
        <v>8976826.0829117596</v>
      </c>
      <c r="W26" s="1036">
        <f>U26+J26+K26</f>
        <v>5782163.1577254012</v>
      </c>
      <c r="Z26" s="364">
        <f>3578510707.1-'MSCOA - Tariff Structure'!Q6</f>
        <v>272273904.16000032</v>
      </c>
    </row>
    <row r="27" spans="1:26" s="364" customFormat="1" x14ac:dyDescent="0.35">
      <c r="A27" s="1122" t="s">
        <v>362</v>
      </c>
      <c r="B27" s="1122" t="s">
        <v>356</v>
      </c>
      <c r="C27" s="1122" t="s">
        <v>828</v>
      </c>
      <c r="D27" s="1122" t="s">
        <v>831</v>
      </c>
      <c r="E27" s="1122"/>
      <c r="F27" s="1122" t="s">
        <v>837</v>
      </c>
      <c r="G27" s="1122"/>
      <c r="H27" s="1122"/>
      <c r="I27" s="1043">
        <f>SUM(J27:U27)</f>
        <v>14047392.898599554</v>
      </c>
      <c r="J27" s="1036">
        <f>('Tariff Rand Values 2025-26'!J25*'MSCOA - Tariff Structure'!$T$2)+'Tariff Rand Values 2025-26'!J25</f>
        <v>1928915.0476545598</v>
      </c>
      <c r="K27" s="1036">
        <f>('Tariff Rand Values 2025-26'!K25*'MSCOA - Tariff Structure'!$T$2)+'Tariff Rand Values 2025-26'!K25</f>
        <v>1871886.8758447201</v>
      </c>
      <c r="L27" s="1036">
        <f>('Tariff Rand Values 2025-26'!L25*'MSCOA - Tariff Structure'!$T$2)+'Tariff Rand Values 2025-26'!L25</f>
        <v>1089978.7110581601</v>
      </c>
      <c r="M27" s="1036">
        <f>('Tariff Rand Values 2025-26'!M25*'MSCOA - Tariff Structure'!$T$2)+'Tariff Rand Values 2025-26'!M25</f>
        <v>1042578.65097512</v>
      </c>
      <c r="N27" s="1036">
        <f>('Tariff Rand Values 2025-26'!N25*'MSCOA - Tariff Structure'!$T$2)+'Tariff Rand Values 2025-26'!N25</f>
        <v>1041674.4042376</v>
      </c>
      <c r="O27" s="1036">
        <f>('Tariff Rand Values 2025-26'!O25*'MSCOA - Tariff Structure'!$T$2)+'Tariff Rand Values 2025-26'!O25</f>
        <v>1075991.63149912</v>
      </c>
      <c r="P27" s="1036">
        <f>('Tariff Rand Values 2025-26'!P25*'MSCOA - Tariff Structure'!$T$2)+'Tariff Rand Values 2025-26'!P25</f>
        <v>1054623.0119689598</v>
      </c>
      <c r="Q27" s="1036">
        <f>('Tariff Rand Values 2025-26'!Q25*'MSCOA - Tariff Structure'!$T$2)+'Tariff Rand Values 2025-26'!Q25</f>
        <v>1070221.54612828</v>
      </c>
      <c r="R27" s="1036">
        <f>('Tariff Rand Values 2025-26'!R25*'MSCOA - Tariff Structure'!$T$2)+'Tariff Rand Values 2025-26'!R25</f>
        <v>768798.29817228136</v>
      </c>
      <c r="S27" s="1036">
        <f>('Tariff Rand Values 2025-26'!S25*'MSCOA - Tariff Structure'!$T$2)+'Tariff Rand Values 2025-26'!S25</f>
        <v>786698.32424671762</v>
      </c>
      <c r="T27" s="1036">
        <f>('Tariff Rand Values 2025-26'!T25*'MSCOA - Tariff Structure'!$T$2)+'Tariff Rand Values 2025-26'!T25</f>
        <v>838689.60130615334</v>
      </c>
      <c r="U27" s="1036">
        <f>('Tariff Rand Values 2025-26'!U25*'MSCOA - Tariff Structure'!$T$2)+'Tariff Rand Values 2025-26'!U25</f>
        <v>1477336.7955078795</v>
      </c>
      <c r="V27" s="1036">
        <f>SUM(L27:T27)</f>
        <v>8769254.1795923915</v>
      </c>
      <c r="W27" s="1036">
        <f>U27+J27+K27</f>
        <v>5278138.7190071596</v>
      </c>
      <c r="Z27" s="364">
        <f>Z26/2</f>
        <v>136136952.08000016</v>
      </c>
    </row>
    <row r="28" spans="1:26" s="364" customFormat="1" ht="15" thickBot="1" x14ac:dyDescent="0.4">
      <c r="A28" s="359" t="s">
        <v>545</v>
      </c>
      <c r="I28" s="1060">
        <f>I30+I29</f>
        <v>192191021.884624</v>
      </c>
      <c r="J28" s="1125"/>
      <c r="K28" s="1125"/>
      <c r="L28" s="1125"/>
      <c r="M28" s="1125"/>
      <c r="N28" s="1125"/>
      <c r="O28" s="1125"/>
      <c r="P28" s="1125"/>
      <c r="Q28" s="1125"/>
      <c r="R28" s="1125"/>
      <c r="S28" s="1125"/>
      <c r="T28" s="1125"/>
      <c r="U28" s="1125"/>
      <c r="V28" s="611">
        <f>+V27+V26+V25+V24</f>
        <v>24642996.218361117</v>
      </c>
      <c r="W28" s="611">
        <f>+W27+W26+W25+W24</f>
        <v>16617461.775697183</v>
      </c>
      <c r="X28" s="364">
        <f>+V28+W28</f>
        <v>41260457.994058296</v>
      </c>
    </row>
    <row r="29" spans="1:26" s="364" customFormat="1" ht="15" thickTop="1" x14ac:dyDescent="0.35">
      <c r="A29" s="1040" t="s">
        <v>1959</v>
      </c>
      <c r="B29" s="1040"/>
      <c r="C29" s="1040"/>
      <c r="D29" s="1040"/>
      <c r="E29" s="1040"/>
      <c r="F29" s="1040"/>
      <c r="G29" s="1040"/>
      <c r="H29" s="1040"/>
      <c r="I29" s="1041">
        <f>SUM(J29:U29)</f>
        <v>4452000</v>
      </c>
      <c r="J29" s="1041">
        <f>'Tariff SUMMARY 26-27'!$B$15*100</f>
        <v>371000</v>
      </c>
      <c r="K29" s="1041">
        <f>'Tariff SUMMARY 26-27'!$B$15*100</f>
        <v>371000</v>
      </c>
      <c r="L29" s="1041">
        <f>'Tariff SUMMARY 26-27'!$B$15*100</f>
        <v>371000</v>
      </c>
      <c r="M29" s="1041">
        <f>'Tariff SUMMARY 26-27'!$B$15*100</f>
        <v>371000</v>
      </c>
      <c r="N29" s="1041">
        <f>'Tariff SUMMARY 26-27'!$B$15*100</f>
        <v>371000</v>
      </c>
      <c r="O29" s="1041">
        <f>'Tariff SUMMARY 26-27'!$B$15*100</f>
        <v>371000</v>
      </c>
      <c r="P29" s="1041">
        <f>'Tariff SUMMARY 26-27'!$B$15*100</f>
        <v>371000</v>
      </c>
      <c r="Q29" s="1041">
        <f>'Tariff SUMMARY 26-27'!$B$15*100</f>
        <v>371000</v>
      </c>
      <c r="R29" s="1041">
        <f>'Tariff SUMMARY 26-27'!$B$15*100</f>
        <v>371000</v>
      </c>
      <c r="S29" s="1041">
        <f>'Tariff SUMMARY 26-27'!$B$15*100</f>
        <v>371000</v>
      </c>
      <c r="T29" s="1041">
        <f>'Tariff SUMMARY 26-27'!$B$15*100</f>
        <v>371000</v>
      </c>
      <c r="U29" s="1041">
        <f>'Tariff SUMMARY 26-27'!$B$15*100</f>
        <v>371000</v>
      </c>
      <c r="V29" s="1041">
        <f>SUM(L29:T29)</f>
        <v>3339000</v>
      </c>
      <c r="W29" s="1041">
        <f>U29+J29+K29</f>
        <v>1113000</v>
      </c>
    </row>
    <row r="30" spans="1:26" s="364" customFormat="1" x14ac:dyDescent="0.35">
      <c r="A30" s="1038" t="s">
        <v>313</v>
      </c>
      <c r="B30" s="1038" t="s">
        <v>311</v>
      </c>
      <c r="C30" s="1038" t="s">
        <v>510</v>
      </c>
      <c r="D30" s="1038" t="s">
        <v>514</v>
      </c>
      <c r="E30" s="1122" t="s">
        <v>510</v>
      </c>
      <c r="F30" s="1122" t="s">
        <v>514</v>
      </c>
      <c r="G30" s="1122"/>
      <c r="H30" s="1122"/>
      <c r="I30" s="1043">
        <f>SUM(J30:U30)</f>
        <v>187739021.884624</v>
      </c>
      <c r="J30" s="1036">
        <f>('Tariff Rand Values 2025-26'!J27*'MSCOA - Tariff Structure'!$T$2)+'Tariff Rand Values 2025-26'!J27</f>
        <v>17503392.927553259</v>
      </c>
      <c r="K30" s="1036">
        <f>('Tariff Rand Values 2025-26'!K27*'MSCOA - Tariff Structure'!$T$2)+'Tariff Rand Values 2025-26'!K27</f>
        <v>17126369.798119582</v>
      </c>
      <c r="L30" s="1036">
        <f>('Tariff Rand Values 2025-26'!L27*'MSCOA - Tariff Structure'!$T$2)+'Tariff Rand Values 2025-26'!L27</f>
        <v>15824725.069967672</v>
      </c>
      <c r="M30" s="1036">
        <f>('Tariff Rand Values 2025-26'!M27*'MSCOA - Tariff Structure'!$T$2)+'Tariff Rand Values 2025-26'!M27</f>
        <v>16844144.053403907</v>
      </c>
      <c r="N30" s="1036">
        <f>('Tariff Rand Values 2025-26'!N27*'MSCOA - Tariff Structure'!$T$2)+'Tariff Rand Values 2025-26'!N27</f>
        <v>16452939.19470085</v>
      </c>
      <c r="O30" s="1036">
        <f>('Tariff Rand Values 2025-26'!O27*'MSCOA - Tariff Structure'!$T$2)+'Tariff Rand Values 2025-26'!O27</f>
        <v>17831209.629723616</v>
      </c>
      <c r="P30" s="1036">
        <f>('Tariff Rand Values 2025-26'!P27*'MSCOA - Tariff Structure'!$T$2)+'Tariff Rand Values 2025-26'!P27</f>
        <v>15327252.475950874</v>
      </c>
      <c r="Q30" s="1036">
        <f>('Tariff Rand Values 2025-26'!Q27*'MSCOA - Tariff Structure'!$T$2)+'Tariff Rand Values 2025-26'!Q27</f>
        <v>16364217.807886593</v>
      </c>
      <c r="R30" s="1036">
        <f>('Tariff Rand Values 2025-26'!R27*'MSCOA - Tariff Structure'!$T$2)+'Tariff Rand Values 2025-26'!R27</f>
        <v>12444576.562041184</v>
      </c>
      <c r="S30" s="1036">
        <f>('Tariff Rand Values 2025-26'!S27*'MSCOA - Tariff Structure'!$T$2)+'Tariff Rand Values 2025-26'!S27</f>
        <v>12926009.085974162</v>
      </c>
      <c r="T30" s="1036">
        <f>('Tariff Rand Values 2025-26'!T27*'MSCOA - Tariff Structure'!$T$2)+'Tariff Rand Values 2025-26'!T27</f>
        <v>14037577.665667985</v>
      </c>
      <c r="U30" s="1036">
        <f>('Tariff Rand Values 2025-26'!U27*'MSCOA - Tariff Structure'!$T$2)+'Tariff Rand Values 2025-26'!U27</f>
        <v>15056607.61363432</v>
      </c>
      <c r="V30" s="1036">
        <f>SUM(L30:T30)</f>
        <v>138052651.54531685</v>
      </c>
      <c r="W30" s="1036">
        <f>U30+J30+K30</f>
        <v>49686370.339307159</v>
      </c>
    </row>
    <row r="31" spans="1:26" s="364" customFormat="1" ht="15" thickBot="1" x14ac:dyDescent="0.4">
      <c r="A31" s="359" t="s">
        <v>546</v>
      </c>
      <c r="I31" s="1060">
        <f>I33+I32</f>
        <v>43455225.003553346</v>
      </c>
      <c r="J31" s="1125"/>
      <c r="K31" s="1125"/>
      <c r="L31" s="1125"/>
      <c r="M31" s="1125"/>
      <c r="N31" s="1125"/>
      <c r="O31" s="1125"/>
      <c r="P31" s="1125"/>
      <c r="Q31" s="1125"/>
      <c r="R31" s="1125"/>
      <c r="S31" s="1125"/>
      <c r="T31" s="1125"/>
      <c r="U31" s="1125"/>
      <c r="V31" s="611">
        <f>+V30</f>
        <v>138052651.54531685</v>
      </c>
      <c r="W31" s="611">
        <f>+W30</f>
        <v>49686370.339307159</v>
      </c>
      <c r="X31" s="364">
        <f>+W31+V31</f>
        <v>187739021.884624</v>
      </c>
    </row>
    <row r="32" spans="1:26" s="364" customFormat="1" ht="15" thickTop="1" x14ac:dyDescent="0.35">
      <c r="A32" s="1135" t="s">
        <v>255</v>
      </c>
      <c r="B32" s="1135"/>
      <c r="C32" s="1135"/>
      <c r="D32" s="1135"/>
      <c r="E32" s="1135"/>
      <c r="F32" s="1135"/>
      <c r="G32" s="1135"/>
      <c r="H32" s="1135"/>
      <c r="I32" s="1113">
        <f>SUM(J32:U32)</f>
        <v>273600</v>
      </c>
      <c r="J32" s="1113">
        <f>'Tariff SUMMARY 26-27'!$B$14*'Annexure A'!$V$49</f>
        <v>22800</v>
      </c>
      <c r="K32" s="1113">
        <f>'Tariff SUMMARY 26-27'!$B$14*'Annexure A'!$V$49</f>
        <v>22800</v>
      </c>
      <c r="L32" s="1113">
        <f>'Tariff SUMMARY 26-27'!$B$14*'Annexure A'!$U$49</f>
        <v>22800</v>
      </c>
      <c r="M32" s="1113">
        <f>'Tariff SUMMARY 26-27'!$B$14*'Annexure A'!$U$49</f>
        <v>22800</v>
      </c>
      <c r="N32" s="1113">
        <f>'Tariff SUMMARY 26-27'!$B$14*'Annexure A'!$U$49</f>
        <v>22800</v>
      </c>
      <c r="O32" s="1113">
        <f>'Tariff SUMMARY 26-27'!$B$14*'Annexure A'!$U$49</f>
        <v>22800</v>
      </c>
      <c r="P32" s="1113">
        <f>'Tariff SUMMARY 26-27'!$B$14*'Annexure A'!$U$49</f>
        <v>22800</v>
      </c>
      <c r="Q32" s="1113">
        <f>'Tariff SUMMARY 26-27'!$B$14*'Annexure A'!$U$49</f>
        <v>22800</v>
      </c>
      <c r="R32" s="1113">
        <f>'Tariff SUMMARY 26-27'!$B$14*'Annexure A'!$U$49</f>
        <v>22800</v>
      </c>
      <c r="S32" s="1113">
        <f>'Tariff SUMMARY 26-27'!$B$14*'Annexure A'!$U$49</f>
        <v>22800</v>
      </c>
      <c r="T32" s="1113">
        <f>'Tariff SUMMARY 26-27'!$B$14*'Annexure A'!$U$49</f>
        <v>22800</v>
      </c>
      <c r="U32" s="1113">
        <f>'Tariff SUMMARY 26-27'!$B$14*'Annexure A'!$V$49</f>
        <v>22800</v>
      </c>
      <c r="V32" s="1113">
        <f>SUM(L32:T32)</f>
        <v>205200</v>
      </c>
      <c r="W32" s="1113">
        <f>U32+J32+K32</f>
        <v>68400</v>
      </c>
    </row>
    <row r="33" spans="1:24" s="364" customFormat="1" x14ac:dyDescent="0.35">
      <c r="A33" s="1038" t="s">
        <v>313</v>
      </c>
      <c r="B33" s="1038" t="s">
        <v>311</v>
      </c>
      <c r="C33" s="1038" t="s">
        <v>510</v>
      </c>
      <c r="D33" s="1038" t="s">
        <v>514</v>
      </c>
      <c r="E33" s="1122" t="s">
        <v>510</v>
      </c>
      <c r="F33" s="1122" t="s">
        <v>514</v>
      </c>
      <c r="G33" s="1122"/>
      <c r="H33" s="1122"/>
      <c r="I33" s="1043">
        <f>SUM(J33:U33)</f>
        <v>43181625.003553346</v>
      </c>
      <c r="J33" s="1036">
        <f>('Tariff Rand Values 2025-26'!J29*'MSCOA - Tariff Structure'!$T$2)+'Tariff Rand Values 2025-26'!J29</f>
        <v>4284522.3415400004</v>
      </c>
      <c r="K33" s="1036">
        <f>('Tariff Rand Values 2025-26'!K29*'MSCOA - Tariff Structure'!$T$2)+'Tariff Rand Values 2025-26'!K29</f>
        <v>2687094.7288500001</v>
      </c>
      <c r="L33" s="1036">
        <f>('Tariff Rand Values 2025-26'!L29*'MSCOA - Tariff Structure'!$T$2)+'Tariff Rand Values 2025-26'!L29</f>
        <v>4279695.2549215201</v>
      </c>
      <c r="M33" s="1036">
        <f>('Tariff Rand Values 2025-26'!M29*'MSCOA - Tariff Structure'!$T$2)+'Tariff Rand Values 2025-26'!M29</f>
        <v>3038876.6501099998</v>
      </c>
      <c r="N33" s="1036">
        <f>('Tariff Rand Values 2025-26'!N29*'MSCOA - Tariff Structure'!$T$2)+'Tariff Rand Values 2025-26'!N29</f>
        <v>3835712.8244064003</v>
      </c>
      <c r="O33" s="1036">
        <f>('Tariff Rand Values 2025-26'!O29*'MSCOA - Tariff Structure'!$T$2)+'Tariff Rand Values 2025-26'!O29</f>
        <v>4433976.0885733608</v>
      </c>
      <c r="P33" s="1036">
        <f>('Tariff Rand Values 2025-26'!P29*'MSCOA - Tariff Structure'!$T$2)+'Tariff Rand Values 2025-26'!P29</f>
        <v>4200756.5603530798</v>
      </c>
      <c r="Q33" s="1036">
        <f>('Tariff Rand Values 2025-26'!Q29*'MSCOA - Tariff Structure'!$T$2)+'Tariff Rand Values 2025-26'!Q29</f>
        <v>4357224.4748684401</v>
      </c>
      <c r="R33" s="1036">
        <f>('Tariff Rand Values 2025-26'!R29*'MSCOA - Tariff Structure'!$T$2)+'Tariff Rand Values 2025-26'!R29</f>
        <v>1812568.3016596735</v>
      </c>
      <c r="S33" s="1036">
        <f>('Tariff Rand Values 2025-26'!S29*'MSCOA - Tariff Structure'!$T$2)+'Tariff Rand Values 2025-26'!S29</f>
        <v>1141707.0062130603</v>
      </c>
      <c r="T33" s="1036">
        <f>('Tariff Rand Values 2025-26'!T29*'MSCOA - Tariff Structure'!$T$2)+'Tariff Rand Values 2025-26'!T29</f>
        <v>747770.73026474158</v>
      </c>
      <c r="U33" s="1036">
        <f>('Tariff Rand Values 2025-26'!U29*'MSCOA - Tariff Structure'!$T$2)+'Tariff Rand Values 2025-26'!U29</f>
        <v>8361720.0417930707</v>
      </c>
      <c r="V33" s="1036">
        <f>SUM(L33:T33)</f>
        <v>27848287.891370278</v>
      </c>
      <c r="W33" s="1036">
        <f>U33+J33+K33</f>
        <v>15333337.112183072</v>
      </c>
    </row>
    <row r="34" spans="1:24" s="364" customFormat="1" ht="15" thickBot="1" x14ac:dyDescent="0.4">
      <c r="A34" s="359" t="s">
        <v>539</v>
      </c>
      <c r="I34" s="1060">
        <f>SUM(I35:I38)</f>
        <v>1963747.5012996024</v>
      </c>
      <c r="J34" s="1125"/>
      <c r="K34" s="1125"/>
      <c r="L34" s="1125"/>
      <c r="M34" s="1125"/>
      <c r="N34" s="1125"/>
      <c r="O34" s="1125"/>
      <c r="P34" s="1125"/>
      <c r="Q34" s="1125"/>
      <c r="R34" s="1125"/>
      <c r="S34" s="1125"/>
      <c r="T34" s="1125"/>
      <c r="U34" s="1125"/>
      <c r="V34" s="611">
        <f>+V33</f>
        <v>27848287.891370278</v>
      </c>
      <c r="W34" s="611">
        <f>+W33</f>
        <v>15333337.112183072</v>
      </c>
      <c r="X34" s="364">
        <f>+W34+V34</f>
        <v>43181625.003553346</v>
      </c>
    </row>
    <row r="35" spans="1:24" s="364" customFormat="1" ht="15" thickTop="1" x14ac:dyDescent="0.35">
      <c r="A35" s="1040" t="s">
        <v>401</v>
      </c>
      <c r="B35" s="1040" t="s">
        <v>401</v>
      </c>
      <c r="C35" s="1040" t="s">
        <v>875</v>
      </c>
      <c r="D35" s="1040" t="s">
        <v>875</v>
      </c>
      <c r="E35" s="1040" t="s">
        <v>876</v>
      </c>
      <c r="F35" s="1040" t="s">
        <v>876</v>
      </c>
      <c r="G35" s="1040"/>
      <c r="H35" s="1040"/>
      <c r="I35" s="1041">
        <f>SUM(J35:U35)</f>
        <v>262839.20404527796</v>
      </c>
      <c r="J35" s="1041">
        <f>'Tariff SUMMARY 26-27'!$B$16*'Annexure A'!$V$56</f>
        <v>21903.267003773166</v>
      </c>
      <c r="K35" s="1041">
        <f>'Tariff SUMMARY 26-27'!$B$16*'Annexure A'!$V$56</f>
        <v>21903.267003773166</v>
      </c>
      <c r="L35" s="1041">
        <f>'Tariff SUMMARY 26-27'!$B$16*'Annexure A'!$V$56</f>
        <v>21903.267003773166</v>
      </c>
      <c r="M35" s="1041">
        <f>'Tariff SUMMARY 26-27'!$B$16*'Annexure A'!$V$56</f>
        <v>21903.267003773166</v>
      </c>
      <c r="N35" s="1041">
        <f>'Tariff SUMMARY 26-27'!$B$16*'Annexure A'!$V$56</f>
        <v>21903.267003773166</v>
      </c>
      <c r="O35" s="1041">
        <f>'Tariff SUMMARY 26-27'!$B$16*'Annexure A'!$V$56</f>
        <v>21903.267003773166</v>
      </c>
      <c r="P35" s="1041">
        <f>'Tariff SUMMARY 26-27'!$B$16*'Annexure A'!$V$56</f>
        <v>21903.267003773166</v>
      </c>
      <c r="Q35" s="1041">
        <f>'Tariff SUMMARY 26-27'!$B$16*'Annexure A'!$V$56</f>
        <v>21903.267003773166</v>
      </c>
      <c r="R35" s="1041">
        <f>'Tariff SUMMARY 26-27'!$B$16*'Annexure A'!$V$56</f>
        <v>21903.267003773166</v>
      </c>
      <c r="S35" s="1041">
        <f>'Tariff SUMMARY 26-27'!$B$16*'Annexure A'!$V$56</f>
        <v>21903.267003773166</v>
      </c>
      <c r="T35" s="1041">
        <f>'Tariff SUMMARY 26-27'!$B$16*'Annexure A'!$V$56</f>
        <v>21903.267003773166</v>
      </c>
      <c r="U35" s="1041">
        <f>'Tariff SUMMARY 26-27'!$B$16*'Annexure A'!$V$56</f>
        <v>21903.267003773166</v>
      </c>
      <c r="V35" s="1041">
        <f>SUM(L35:T35)</f>
        <v>197129.40303395846</v>
      </c>
      <c r="W35" s="1041">
        <f>U35+J35+K35</f>
        <v>65709.801011319505</v>
      </c>
    </row>
    <row r="36" spans="1:24" s="364" customFormat="1" x14ac:dyDescent="0.35">
      <c r="A36" s="1038" t="s">
        <v>403</v>
      </c>
      <c r="B36" s="1038" t="s">
        <v>411</v>
      </c>
      <c r="C36" s="1038" t="s">
        <v>871</v>
      </c>
      <c r="D36" s="1038" t="s">
        <v>874</v>
      </c>
      <c r="E36" s="1122" t="s">
        <v>864</v>
      </c>
      <c r="F36" s="1122" t="s">
        <v>867</v>
      </c>
      <c r="G36" s="1122"/>
      <c r="H36" s="1122"/>
      <c r="I36" s="1043">
        <f>SUM(J36:U36)</f>
        <v>478237.33601820219</v>
      </c>
      <c r="J36" s="1036">
        <f>('Tariff Rand Values 2025-26'!J32*'MSCOA - Tariff Structure'!$T$2)+'Tariff Rand Values 2025-26'!J32</f>
        <v>105146.32253720002</v>
      </c>
      <c r="K36" s="1036">
        <f>('Tariff Rand Values 2025-26'!K32*'MSCOA - Tariff Structure'!$T$2)+'Tariff Rand Values 2025-26'!K32</f>
        <v>88597.675842480021</v>
      </c>
      <c r="L36" s="1036">
        <f>('Tariff Rand Values 2025-26'!L32*'MSCOA - Tariff Structure'!$T$2)+'Tariff Rand Values 2025-26'!L32</f>
        <v>48137.964554399994</v>
      </c>
      <c r="M36" s="1036">
        <f>('Tariff Rand Values 2025-26'!M32*'MSCOA - Tariff Structure'!$T$2)+'Tariff Rand Values 2025-26'!M32</f>
        <v>48256.649872480004</v>
      </c>
      <c r="N36" s="1036">
        <f>('Tariff Rand Values 2025-26'!N32*'MSCOA - Tariff Structure'!$T$2)+'Tariff Rand Values 2025-26'!N32</f>
        <v>40227.232344880002</v>
      </c>
      <c r="O36" s="1036">
        <f>('Tariff Rand Values 2025-26'!O32*'MSCOA - Tariff Structure'!$T$2)+'Tariff Rand Values 2025-26'!O32</f>
        <v>36388.710996959999</v>
      </c>
      <c r="P36" s="1036">
        <f>('Tariff Rand Values 2025-26'!P32*'MSCOA - Tariff Structure'!$T$2)+'Tariff Rand Values 2025-26'!P32</f>
        <v>43749.028926400002</v>
      </c>
      <c r="Q36" s="1036">
        <f>('Tariff Rand Values 2025-26'!Q32*'MSCOA - Tariff Structure'!$T$2)+'Tariff Rand Values 2025-26'!Q32</f>
        <v>43312.556504559994</v>
      </c>
      <c r="R36" s="1036">
        <f>('Tariff Rand Values 2025-26'!R32*'MSCOA - Tariff Structure'!$T$2)+'Tariff Rand Values 2025-26'!R32</f>
        <v>4841.5694292373373</v>
      </c>
      <c r="S36" s="1036">
        <f>('Tariff Rand Values 2025-26'!S32*'MSCOA - Tariff Structure'!$T$2)+'Tariff Rand Values 2025-26'!S32</f>
        <v>5063.5440618167286</v>
      </c>
      <c r="T36" s="1036">
        <f>('Tariff Rand Values 2025-26'!T32*'MSCOA - Tariff Structure'!$T$2)+'Tariff Rand Values 2025-26'!T32</f>
        <v>6036.1965427555215</v>
      </c>
      <c r="U36" s="1036">
        <f>('Tariff Rand Values 2025-26'!U32*'MSCOA - Tariff Structure'!$T$2)+'Tariff Rand Values 2025-26'!U32</f>
        <v>8479.8844050325788</v>
      </c>
      <c r="V36" s="1036">
        <f>SUM(L36:T36)</f>
        <v>276013.45323348953</v>
      </c>
      <c r="W36" s="1036">
        <f>U36+J36+K36</f>
        <v>202223.88278471259</v>
      </c>
    </row>
    <row r="37" spans="1:24" s="364" customFormat="1" x14ac:dyDescent="0.35">
      <c r="A37" s="1038" t="s">
        <v>405</v>
      </c>
      <c r="B37" s="1038" t="s">
        <v>413</v>
      </c>
      <c r="C37" s="1038" t="s">
        <v>870</v>
      </c>
      <c r="D37" s="1038" t="s">
        <v>873</v>
      </c>
      <c r="E37" s="1122" t="s">
        <v>863</v>
      </c>
      <c r="F37" s="1122" t="s">
        <v>866</v>
      </c>
      <c r="G37" s="1122"/>
      <c r="H37" s="1122"/>
      <c r="I37" s="1043">
        <f>SUM(J37:U37)</f>
        <v>646056.64883017901</v>
      </c>
      <c r="J37" s="1036">
        <f>('Tariff Rand Values 2025-26'!J33*'MSCOA - Tariff Structure'!$T$2)+'Tariff Rand Values 2025-26'!J33</f>
        <v>139123.54007972</v>
      </c>
      <c r="K37" s="1036">
        <f>('Tariff Rand Values 2025-26'!K33*'MSCOA - Tariff Structure'!$T$2)+'Tariff Rand Values 2025-26'!K33</f>
        <v>118369.07507124</v>
      </c>
      <c r="L37" s="1036">
        <f>('Tariff Rand Values 2025-26'!L33*'MSCOA - Tariff Structure'!$T$2)+'Tariff Rand Values 2025-26'!L33</f>
        <v>60670.197804440002</v>
      </c>
      <c r="M37" s="1036">
        <f>('Tariff Rand Values 2025-26'!M33*'MSCOA - Tariff Structure'!$T$2)+'Tariff Rand Values 2025-26'!M33</f>
        <v>61078.703577640001</v>
      </c>
      <c r="N37" s="1036">
        <f>('Tariff Rand Values 2025-26'!N33*'MSCOA - Tariff Structure'!$T$2)+'Tariff Rand Values 2025-26'!N33</f>
        <v>55637.794555280001</v>
      </c>
      <c r="O37" s="1036">
        <f>('Tariff Rand Values 2025-26'!O33*'MSCOA - Tariff Structure'!$T$2)+'Tariff Rand Values 2025-26'!O33</f>
        <v>53124.934352279997</v>
      </c>
      <c r="P37" s="1036">
        <f>('Tariff Rand Values 2025-26'!P33*'MSCOA - Tariff Structure'!$T$2)+'Tariff Rand Values 2025-26'!P33</f>
        <v>62629.110838000001</v>
      </c>
      <c r="Q37" s="1036">
        <f>('Tariff Rand Values 2025-26'!Q33*'MSCOA - Tariff Structure'!$T$2)+'Tariff Rand Values 2025-26'!Q33</f>
        <v>61843.660593400004</v>
      </c>
      <c r="R37" s="1036">
        <f>('Tariff Rand Values 2025-26'!R33*'MSCOA - Tariff Structure'!$T$2)+'Tariff Rand Values 2025-26'!R33</f>
        <v>7139.3175713112723</v>
      </c>
      <c r="S37" s="1036">
        <f>('Tariff Rand Values 2025-26'!S33*'MSCOA - Tariff Structure'!$T$2)+'Tariff Rand Values 2025-26'!S33</f>
        <v>6839.4881926509752</v>
      </c>
      <c r="T37" s="1036">
        <f>('Tariff Rand Values 2025-26'!T33*'MSCOA - Tariff Structure'!$T$2)+'Tariff Rand Values 2025-26'!T33</f>
        <v>7322.8750876366394</v>
      </c>
      <c r="U37" s="1036">
        <f>('Tariff Rand Values 2025-26'!U33*'MSCOA - Tariff Structure'!$T$2)+'Tariff Rand Values 2025-26'!U33</f>
        <v>12277.951106580225</v>
      </c>
      <c r="V37" s="1036">
        <f>SUM(L37:T37)</f>
        <v>376286.08257263887</v>
      </c>
      <c r="W37" s="1036">
        <f>U37+J37+K37</f>
        <v>269770.56625754025</v>
      </c>
    </row>
    <row r="38" spans="1:24" s="364" customFormat="1" x14ac:dyDescent="0.35">
      <c r="A38" s="1038" t="s">
        <v>407</v>
      </c>
      <c r="B38" s="1038" t="s">
        <v>409</v>
      </c>
      <c r="C38" s="1038" t="s">
        <v>872</v>
      </c>
      <c r="D38" s="1038" t="s">
        <v>869</v>
      </c>
      <c r="E38" s="1122" t="s">
        <v>865</v>
      </c>
      <c r="F38" s="1122" t="s">
        <v>868</v>
      </c>
      <c r="G38" s="1122"/>
      <c r="H38" s="1122"/>
      <c r="I38" s="1043">
        <f>SUM(J38:U38)</f>
        <v>576614.31240594352</v>
      </c>
      <c r="J38" s="1036">
        <f>('Tariff Rand Values 2025-26'!J34*'MSCOA - Tariff Structure'!$T$2)+'Tariff Rand Values 2025-26'!J34</f>
        <v>90765.684044559996</v>
      </c>
      <c r="K38" s="1036">
        <f>('Tariff Rand Values 2025-26'!K34*'MSCOA - Tariff Structure'!$T$2)+'Tariff Rand Values 2025-26'!K34</f>
        <v>87551.100604239997</v>
      </c>
      <c r="L38" s="1036">
        <f>('Tariff Rand Values 2025-26'!L34*'MSCOA - Tariff Structure'!$T$2)+'Tariff Rand Values 2025-26'!L34</f>
        <v>64091.195864360001</v>
      </c>
      <c r="M38" s="1036">
        <f>('Tariff Rand Values 2025-26'!M34*'MSCOA - Tariff Structure'!$T$2)+'Tariff Rand Values 2025-26'!M34</f>
        <v>57022.588362319999</v>
      </c>
      <c r="N38" s="1036">
        <f>('Tariff Rand Values 2025-26'!N34*'MSCOA - Tariff Structure'!$T$2)+'Tariff Rand Values 2025-26'!N34</f>
        <v>56674.055238919995</v>
      </c>
      <c r="O38" s="1036">
        <f>('Tariff Rand Values 2025-26'!O34*'MSCOA - Tariff Structure'!$T$2)+'Tariff Rand Values 2025-26'!O34</f>
        <v>66147.362177399991</v>
      </c>
      <c r="P38" s="1036">
        <f>('Tariff Rand Values 2025-26'!P34*'MSCOA - Tariff Structure'!$T$2)+'Tariff Rand Values 2025-26'!P34</f>
        <v>62443.942965599999</v>
      </c>
      <c r="Q38" s="1036">
        <f>('Tariff Rand Values 2025-26'!Q34*'MSCOA - Tariff Structure'!$T$2)+'Tariff Rand Values 2025-26'!Q34</f>
        <v>60774.504509879996</v>
      </c>
      <c r="R38" s="1036">
        <f>('Tariff Rand Values 2025-26'!R34*'MSCOA - Tariff Structure'!$T$2)+'Tariff Rand Values 2025-26'!R34</f>
        <v>6531.4079544023807</v>
      </c>
      <c r="S38" s="1036">
        <f>('Tariff Rand Values 2025-26'!S34*'MSCOA - Tariff Structure'!$T$2)+'Tariff Rand Values 2025-26'!S34</f>
        <v>6818.7899043960851</v>
      </c>
      <c r="T38" s="1036">
        <f>('Tariff Rand Values 2025-26'!T34*'MSCOA - Tariff Structure'!$T$2)+'Tariff Rand Values 2025-26'!T34</f>
        <v>7315.1769089306663</v>
      </c>
      <c r="U38" s="1036">
        <f>('Tariff Rand Values 2025-26'!U34*'MSCOA - Tariff Structure'!$T$2)+'Tariff Rand Values 2025-26'!U34</f>
        <v>10478.503870934488</v>
      </c>
      <c r="V38" s="1036">
        <f>SUM(L38:T38)</f>
        <v>387819.02388620912</v>
      </c>
      <c r="W38" s="1036">
        <f>U38+J38+K38</f>
        <v>188795.28851973449</v>
      </c>
    </row>
    <row r="39" spans="1:24" s="364" customFormat="1" ht="15" thickBot="1" x14ac:dyDescent="0.4">
      <c r="A39" s="359" t="s">
        <v>538</v>
      </c>
      <c r="B39" s="248"/>
      <c r="C39" s="248"/>
      <c r="D39" s="248"/>
      <c r="E39" s="248"/>
      <c r="F39" s="248"/>
      <c r="G39" s="248"/>
      <c r="H39" s="248"/>
      <c r="I39" s="1060">
        <f>SUM(I40:I43)</f>
        <v>121209119.13138197</v>
      </c>
      <c r="J39" s="1126"/>
      <c r="K39" s="1126"/>
      <c r="L39" s="1126"/>
      <c r="M39" s="1126"/>
      <c r="N39" s="1126"/>
      <c r="O39" s="1126"/>
      <c r="P39" s="1126"/>
      <c r="Q39" s="1126"/>
      <c r="R39" s="1126"/>
      <c r="S39" s="1126"/>
      <c r="T39" s="1126"/>
      <c r="U39" s="1126"/>
      <c r="V39" s="611">
        <f>+V38+V37+V36+V35</f>
        <v>1237247.9627262959</v>
      </c>
      <c r="W39" s="611">
        <f>+W38+W37+W36+W35</f>
        <v>726499.53857330687</v>
      </c>
      <c r="X39" s="364">
        <f>+W39+V39</f>
        <v>1963747.5012996029</v>
      </c>
    </row>
    <row r="40" spans="1:24" s="364" customFormat="1" ht="15" thickTop="1" x14ac:dyDescent="0.35">
      <c r="A40" s="1040" t="s">
        <v>392</v>
      </c>
      <c r="B40" s="1040" t="s">
        <v>392</v>
      </c>
      <c r="C40" s="1040" t="s">
        <v>876</v>
      </c>
      <c r="D40" s="1040" t="s">
        <v>876</v>
      </c>
      <c r="E40" s="1040" t="s">
        <v>875</v>
      </c>
      <c r="F40" s="1040" t="s">
        <v>875</v>
      </c>
      <c r="G40" s="1040"/>
      <c r="H40" s="1040"/>
      <c r="I40" s="1041">
        <f>SUM(J40:U40)</f>
        <v>12909494.519022139</v>
      </c>
      <c r="J40" s="1041">
        <f>'Tariff SUMMARY 26-27'!$B$17*'Annexure A'!$V$64</f>
        <v>1075791.2099185113</v>
      </c>
      <c r="K40" s="1041">
        <f>'Tariff SUMMARY 26-27'!$B$17*'Annexure A'!$V$64</f>
        <v>1075791.2099185113</v>
      </c>
      <c r="L40" s="1041">
        <f>'Tariff SUMMARY 26-27'!$B$17*'Annexure A'!$V$64</f>
        <v>1075791.2099185113</v>
      </c>
      <c r="M40" s="1041">
        <f>'Tariff SUMMARY 26-27'!$B$17*'Annexure A'!$V$64</f>
        <v>1075791.2099185113</v>
      </c>
      <c r="N40" s="1041">
        <f>'Tariff SUMMARY 26-27'!$B$17*'Annexure A'!$V$64</f>
        <v>1075791.2099185113</v>
      </c>
      <c r="O40" s="1041">
        <f>'Tariff SUMMARY 26-27'!$B$17*'Annexure A'!$V$64</f>
        <v>1075791.2099185113</v>
      </c>
      <c r="P40" s="1041">
        <f>'Tariff SUMMARY 26-27'!$B$17*'Annexure A'!$V$64</f>
        <v>1075791.2099185113</v>
      </c>
      <c r="Q40" s="1041">
        <f>'Tariff SUMMARY 26-27'!$B$17*'Annexure A'!$V$64</f>
        <v>1075791.2099185113</v>
      </c>
      <c r="R40" s="1041">
        <f>'Tariff SUMMARY 26-27'!$B$17*'Annexure A'!$V$64</f>
        <v>1075791.2099185113</v>
      </c>
      <c r="S40" s="1041">
        <f>'Tariff SUMMARY 26-27'!$B$17*'Annexure A'!$V$64</f>
        <v>1075791.2099185113</v>
      </c>
      <c r="T40" s="1041">
        <f>'Tariff SUMMARY 26-27'!$B$17*'Annexure A'!$V$64</f>
        <v>1075791.2099185113</v>
      </c>
      <c r="U40" s="1041">
        <f>'Tariff SUMMARY 26-27'!$B$17*'Annexure A'!$V$64</f>
        <v>1075791.2099185113</v>
      </c>
      <c r="V40" s="1041">
        <f>SUM(L40:T40)</f>
        <v>9682120.8892666027</v>
      </c>
      <c r="W40" s="1041">
        <f>U40+J40+K40</f>
        <v>3227373.6297555342</v>
      </c>
    </row>
    <row r="41" spans="1:24" s="364" customFormat="1" x14ac:dyDescent="0.35">
      <c r="A41" s="1038" t="s">
        <v>396</v>
      </c>
      <c r="B41" s="1038" t="s">
        <v>388</v>
      </c>
      <c r="C41" s="1038" t="s">
        <v>864</v>
      </c>
      <c r="D41" s="1038" t="s">
        <v>867</v>
      </c>
      <c r="E41" s="1122" t="s">
        <v>871</v>
      </c>
      <c r="F41" s="1122" t="s">
        <v>874</v>
      </c>
      <c r="G41" s="1122"/>
      <c r="H41" s="1122"/>
      <c r="I41" s="1043">
        <f>SUM(J41:U41)</f>
        <v>29555121.391890004</v>
      </c>
      <c r="J41" s="1036">
        <f>('Tariff Rand Values 2025-26'!J37*'MSCOA - Tariff Structure'!$T$2)+'Tariff Rand Values 2025-26'!J37</f>
        <v>4406937.7498473609</v>
      </c>
      <c r="K41" s="1036">
        <f>('Tariff Rand Values 2025-26'!K37*'MSCOA - Tariff Structure'!$T$2)+'Tariff Rand Values 2025-26'!K37</f>
        <v>3764548.3393439599</v>
      </c>
      <c r="L41" s="1036">
        <f>('Tariff Rand Values 2025-26'!L37*'MSCOA - Tariff Structure'!$T$2)+'Tariff Rand Values 2025-26'!L37</f>
        <v>2296148.7055995599</v>
      </c>
      <c r="M41" s="1036">
        <f>('Tariff Rand Values 2025-26'!M37*'MSCOA - Tariff Structure'!$T$2)+'Tariff Rand Values 2025-26'!M37</f>
        <v>2640523.29705108</v>
      </c>
      <c r="N41" s="1036">
        <f>('Tariff Rand Values 2025-26'!N37*'MSCOA - Tariff Structure'!$T$2)+'Tariff Rand Values 2025-26'!N37</f>
        <v>2420819.7635344798</v>
      </c>
      <c r="O41" s="1036">
        <f>('Tariff Rand Values 2025-26'!O37*'MSCOA - Tariff Structure'!$T$2)+'Tariff Rand Values 2025-26'!O37</f>
        <v>2219582.6674081199</v>
      </c>
      <c r="P41" s="1036">
        <f>('Tariff Rand Values 2025-26'!P37*'MSCOA - Tariff Structure'!$T$2)+'Tariff Rand Values 2025-26'!P37</f>
        <v>2617785.5470135594</v>
      </c>
      <c r="Q41" s="1036">
        <f>('Tariff Rand Values 2025-26'!Q37*'MSCOA - Tariff Structure'!$T$2)+'Tariff Rand Values 2025-26'!Q37</f>
        <v>2625056.0603777999</v>
      </c>
      <c r="R41" s="1036">
        <f>('Tariff Rand Values 2025-26'!R37*'MSCOA - Tariff Structure'!$T$2)+'Tariff Rand Values 2025-26'!R37</f>
        <v>1449838.6804840905</v>
      </c>
      <c r="S41" s="1036">
        <f>('Tariff Rand Values 2025-26'!S37*'MSCOA - Tariff Structure'!$T$2)+'Tariff Rand Values 2025-26'!S37</f>
        <v>1411878.3949764476</v>
      </c>
      <c r="T41" s="1036">
        <f>('Tariff Rand Values 2025-26'!T37*'MSCOA - Tariff Structure'!$T$2)+'Tariff Rand Values 2025-26'!T37</f>
        <v>1474071.7856528629</v>
      </c>
      <c r="U41" s="1036">
        <f>('Tariff Rand Values 2025-26'!U37*'MSCOA - Tariff Structure'!$T$2)+'Tariff Rand Values 2025-26'!U37</f>
        <v>2227930.4006006848</v>
      </c>
      <c r="V41" s="1036">
        <f>SUM(L41:T41)</f>
        <v>19155704.902098</v>
      </c>
      <c r="W41" s="1036">
        <f>U41+J41+K41</f>
        <v>10399416.489792006</v>
      </c>
    </row>
    <row r="42" spans="1:24" s="364" customFormat="1" x14ac:dyDescent="0.35">
      <c r="A42" s="1038" t="s">
        <v>398</v>
      </c>
      <c r="B42" s="1038" t="s">
        <v>390</v>
      </c>
      <c r="C42" s="1038" t="s">
        <v>863</v>
      </c>
      <c r="D42" s="1038" t="s">
        <v>866</v>
      </c>
      <c r="E42" s="1122" t="s">
        <v>870</v>
      </c>
      <c r="F42" s="1122" t="s">
        <v>873</v>
      </c>
      <c r="G42" s="1122"/>
      <c r="H42" s="1122"/>
      <c r="I42" s="1043">
        <f>SUM(J42:U42)</f>
        <v>43599453.615469337</v>
      </c>
      <c r="J42" s="1036">
        <f>('Tariff Rand Values 2025-26'!J38*'MSCOA - Tariff Structure'!$T$2)+'Tariff Rand Values 2025-26'!J38</f>
        <v>6698627.8749580411</v>
      </c>
      <c r="K42" s="1036">
        <f>('Tariff Rand Values 2025-26'!K38*'MSCOA - Tariff Structure'!$T$2)+'Tariff Rand Values 2025-26'!K38</f>
        <v>5984307.1324041607</v>
      </c>
      <c r="L42" s="1036">
        <f>('Tariff Rand Values 2025-26'!L38*'MSCOA - Tariff Structure'!$T$2)+'Tariff Rand Values 2025-26'!L38</f>
        <v>3337334.5087681203</v>
      </c>
      <c r="M42" s="1036">
        <f>('Tariff Rand Values 2025-26'!M38*'MSCOA - Tariff Structure'!$T$2)+'Tariff Rand Values 2025-26'!M38</f>
        <v>3610497.9093716396</v>
      </c>
      <c r="N42" s="1036">
        <f>('Tariff Rand Values 2025-26'!N38*'MSCOA - Tariff Structure'!$T$2)+'Tariff Rand Values 2025-26'!N38</f>
        <v>3498123.5299063195</v>
      </c>
      <c r="O42" s="1036">
        <f>('Tariff Rand Values 2025-26'!O38*'MSCOA - Tariff Structure'!$T$2)+'Tariff Rand Values 2025-26'!O38</f>
        <v>3245459.2751148408</v>
      </c>
      <c r="P42" s="1036">
        <f>('Tariff Rand Values 2025-26'!P38*'MSCOA - Tariff Structure'!$T$2)+'Tariff Rand Values 2025-26'!P38</f>
        <v>3811666.1882720403</v>
      </c>
      <c r="Q42" s="1036">
        <f>('Tariff Rand Values 2025-26'!Q38*'MSCOA - Tariff Structure'!$T$2)+'Tariff Rand Values 2025-26'!Q38</f>
        <v>3824776.3824569602</v>
      </c>
      <c r="R42" s="1036">
        <f>('Tariff Rand Values 2025-26'!R38*'MSCOA - Tariff Structure'!$T$2)+'Tariff Rand Values 2025-26'!R38</f>
        <v>1908501.9638925348</v>
      </c>
      <c r="S42" s="1036">
        <f>('Tariff Rand Values 2025-26'!S38*'MSCOA - Tariff Structure'!$T$2)+'Tariff Rand Values 2025-26'!S38</f>
        <v>1960421.6015270709</v>
      </c>
      <c r="T42" s="1036">
        <f>('Tariff Rand Values 2025-26'!T38*'MSCOA - Tariff Structure'!$T$2)+'Tariff Rand Values 2025-26'!T38</f>
        <v>2163905.6938992194</v>
      </c>
      <c r="U42" s="1036">
        <f>('Tariff Rand Values 2025-26'!U38*'MSCOA - Tariff Structure'!$T$2)+'Tariff Rand Values 2025-26'!U38</f>
        <v>3555831.5548983784</v>
      </c>
      <c r="V42" s="1036">
        <f>SUM(L42:T42)</f>
        <v>27360687.053208742</v>
      </c>
      <c r="W42" s="1036">
        <f>U42+J42+K42</f>
        <v>16238766.562260579</v>
      </c>
    </row>
    <row r="43" spans="1:24" s="364" customFormat="1" x14ac:dyDescent="0.35">
      <c r="A43" s="1038" t="s">
        <v>394</v>
      </c>
      <c r="B43" s="1038" t="s">
        <v>386</v>
      </c>
      <c r="C43" s="1038" t="s">
        <v>865</v>
      </c>
      <c r="D43" s="1038" t="s">
        <v>868</v>
      </c>
      <c r="E43" s="1122" t="s">
        <v>872</v>
      </c>
      <c r="F43" s="1122" t="s">
        <v>869</v>
      </c>
      <c r="G43" s="1122"/>
      <c r="H43" s="1122"/>
      <c r="I43" s="1043">
        <f>SUM(J43:U43)</f>
        <v>35145049.605000496</v>
      </c>
      <c r="J43" s="1036">
        <f>('Tariff Rand Values 2025-26'!J39*'MSCOA - Tariff Structure'!$T$2)+'Tariff Rand Values 2025-26'!J39</f>
        <v>4063845.6219390398</v>
      </c>
      <c r="K43" s="1036">
        <f>('Tariff Rand Values 2025-26'!K39*'MSCOA - Tariff Structure'!$T$2)+'Tariff Rand Values 2025-26'!K39</f>
        <v>4126619.1612469601</v>
      </c>
      <c r="L43" s="1036">
        <f>('Tariff Rand Values 2025-26'!L39*'MSCOA - Tariff Structure'!$T$2)+'Tariff Rand Values 2025-26'!L39</f>
        <v>3233583.3687091195</v>
      </c>
      <c r="M43" s="1036">
        <f>('Tariff Rand Values 2025-26'!M39*'MSCOA - Tariff Structure'!$T$2)+'Tariff Rand Values 2025-26'!M39</f>
        <v>3055602.8138347603</v>
      </c>
      <c r="N43" s="1036">
        <f>('Tariff Rand Values 2025-26'!N39*'MSCOA - Tariff Structure'!$T$2)+'Tariff Rand Values 2025-26'!N39</f>
        <v>3106877.2429752396</v>
      </c>
      <c r="O43" s="1036">
        <f>('Tariff Rand Values 2025-26'!O39*'MSCOA - Tariff Structure'!$T$2)+'Tariff Rand Values 2025-26'!O39</f>
        <v>3667751.0372938397</v>
      </c>
      <c r="P43" s="1036">
        <f>('Tariff Rand Values 2025-26'!P39*'MSCOA - Tariff Structure'!$T$2)+'Tariff Rand Values 2025-26'!P39</f>
        <v>3322788.94857672</v>
      </c>
      <c r="Q43" s="1036">
        <f>('Tariff Rand Values 2025-26'!Q39*'MSCOA - Tariff Structure'!$T$2)+'Tariff Rand Values 2025-26'!Q39</f>
        <v>3317333.7227055198</v>
      </c>
      <c r="R43" s="1036">
        <f>('Tariff Rand Values 2025-26'!R39*'MSCOA - Tariff Structure'!$T$2)+'Tariff Rand Values 2025-26'!R39</f>
        <v>1555632.0754613532</v>
      </c>
      <c r="S43" s="1036">
        <f>('Tariff Rand Values 2025-26'!S39*'MSCOA - Tariff Structure'!$T$2)+'Tariff Rand Values 2025-26'!S39</f>
        <v>1707773.8911651596</v>
      </c>
      <c r="T43" s="1036">
        <f>('Tariff Rand Values 2025-26'!T39*'MSCOA - Tariff Structure'!$T$2)+'Tariff Rand Values 2025-26'!T39</f>
        <v>1671074.0666231634</v>
      </c>
      <c r="U43" s="1036">
        <f>('Tariff Rand Values 2025-26'!U39*'MSCOA - Tariff Structure'!$T$2)+'Tariff Rand Values 2025-26'!U39</f>
        <v>2316167.6544696232</v>
      </c>
      <c r="V43" s="1036">
        <f>SUM(L43:T43)</f>
        <v>24638417.167344876</v>
      </c>
      <c r="W43" s="1036">
        <f>U43+J43+K43</f>
        <v>10506632.437655624</v>
      </c>
    </row>
    <row r="44" spans="1:24" s="364" customFormat="1" ht="15" thickBot="1" x14ac:dyDescent="0.4">
      <c r="A44" s="359" t="s">
        <v>254</v>
      </c>
      <c r="I44" s="1060">
        <f>SUM(I45:I50)</f>
        <v>200139044.96859339</v>
      </c>
      <c r="J44" s="1125"/>
      <c r="K44" s="1125"/>
      <c r="L44" s="1125"/>
      <c r="M44" s="1125"/>
      <c r="N44" s="1125"/>
      <c r="O44" s="1125"/>
      <c r="P44" s="1125"/>
      <c r="Q44" s="1125"/>
      <c r="R44" s="1125"/>
      <c r="S44" s="1125"/>
      <c r="T44" s="1125"/>
      <c r="U44" s="1125"/>
      <c r="V44" s="611">
        <f>+V43+V42+V41+V40</f>
        <v>80836930.011918217</v>
      </c>
      <c r="W44" s="611">
        <f>+W43+W42+W41+W40</f>
        <v>40372189.119463742</v>
      </c>
      <c r="X44" s="364">
        <f>+W44+V44</f>
        <v>121209119.13138196</v>
      </c>
    </row>
    <row r="45" spans="1:24" s="364" customFormat="1" ht="15" thickTop="1" x14ac:dyDescent="0.35">
      <c r="A45" s="1040" t="s">
        <v>256</v>
      </c>
      <c r="B45" s="1040" t="s">
        <v>256</v>
      </c>
      <c r="C45" s="1040" t="s">
        <v>862</v>
      </c>
      <c r="D45" s="1040" t="s">
        <v>1382</v>
      </c>
      <c r="E45" s="1040" t="s">
        <v>862</v>
      </c>
      <c r="F45" s="1040" t="s">
        <v>862</v>
      </c>
      <c r="G45" s="1040"/>
      <c r="H45" s="1040"/>
      <c r="I45" s="1041">
        <f t="shared" ref="I45:I50" si="0">SUM(J45:U45)</f>
        <v>238232.6944147289</v>
      </c>
      <c r="J45" s="1041">
        <f>'Tariff SUMMARY 26-27'!$B$18*'Annexure A'!$U$72</f>
        <v>19852.724534560737</v>
      </c>
      <c r="K45" s="1041">
        <f>'Tariff SUMMARY 26-27'!$B$18*'Annexure A'!$U$72</f>
        <v>19852.724534560737</v>
      </c>
      <c r="L45" s="1041">
        <f>'Tariff SUMMARY 26-27'!$B$18*'Annexure A'!$U$72</f>
        <v>19852.724534560737</v>
      </c>
      <c r="M45" s="1041">
        <f>'Tariff SUMMARY 26-27'!$B$18*'Annexure A'!$U$72</f>
        <v>19852.724534560737</v>
      </c>
      <c r="N45" s="1041">
        <f>'Tariff SUMMARY 26-27'!$B$18*'Annexure A'!$U$72</f>
        <v>19852.724534560737</v>
      </c>
      <c r="O45" s="1041">
        <f>'Tariff SUMMARY 26-27'!$B$18*'Annexure A'!$U$72</f>
        <v>19852.724534560737</v>
      </c>
      <c r="P45" s="1041">
        <f>'Tariff SUMMARY 26-27'!$B$18*'Annexure A'!$U$72</f>
        <v>19852.724534560737</v>
      </c>
      <c r="Q45" s="1041">
        <f>'Tariff SUMMARY 26-27'!$B$18*'Annexure A'!$U$72</f>
        <v>19852.724534560737</v>
      </c>
      <c r="R45" s="1041">
        <f>'Tariff SUMMARY 26-27'!$B$18*'Annexure A'!$U$72</f>
        <v>19852.724534560737</v>
      </c>
      <c r="S45" s="1041">
        <f>'Tariff SUMMARY 26-27'!$B$18*'Annexure A'!$U$72</f>
        <v>19852.724534560737</v>
      </c>
      <c r="T45" s="1041">
        <f>'Tariff SUMMARY 26-27'!$B$18*'Annexure A'!$U$72</f>
        <v>19852.724534560737</v>
      </c>
      <c r="U45" s="1041">
        <f>'Tariff SUMMARY 26-27'!$B$18*'Annexure A'!$U$72</f>
        <v>19852.724534560737</v>
      </c>
      <c r="V45" s="1041">
        <f t="shared" ref="V45:V50" si="1">SUM(L45:T45)</f>
        <v>178674.52081104665</v>
      </c>
      <c r="W45" s="1041">
        <f t="shared" ref="W45:W50" si="2">U45+J45+K45</f>
        <v>59558.173603682211</v>
      </c>
    </row>
    <row r="46" spans="1:24" s="364" customFormat="1" x14ac:dyDescent="0.35">
      <c r="A46" s="1051" t="s">
        <v>256</v>
      </c>
      <c r="B46" s="1051" t="s">
        <v>256</v>
      </c>
      <c r="C46" s="1051" t="s">
        <v>862</v>
      </c>
      <c r="D46" s="1051" t="s">
        <v>862</v>
      </c>
      <c r="E46" s="1127" t="s">
        <v>862</v>
      </c>
      <c r="F46" s="1127" t="s">
        <v>862</v>
      </c>
      <c r="G46" s="1127"/>
      <c r="H46" s="1127"/>
      <c r="I46" s="1053">
        <f t="shared" si="0"/>
        <v>19726077.06665419</v>
      </c>
      <c r="J46" s="1053">
        <f>('Tariff Rand Values 2025-26'!J42*'MSCOA - Tariff Structure'!$T$2)+'Tariff Rand Values 2025-26'!J42</f>
        <v>2002696.1931622799</v>
      </c>
      <c r="K46" s="1053">
        <f>('Tariff Rand Values 2025-26'!K42*'MSCOA - Tariff Structure'!$T$2)+'Tariff Rand Values 2025-26'!K42</f>
        <v>1929334.2632706799</v>
      </c>
      <c r="L46" s="1053">
        <f>('Tariff Rand Values 2025-26'!L42*'MSCOA - Tariff Structure'!$T$2)+'Tariff Rand Values 2025-26'!L42</f>
        <v>1929334.2632706799</v>
      </c>
      <c r="M46" s="1053">
        <f>('Tariff Rand Values 2025-26'!M42*'MSCOA - Tariff Structure'!$T$2)+'Tariff Rand Values 2025-26'!M42</f>
        <v>1929334.2632706799</v>
      </c>
      <c r="N46" s="1053">
        <f>('Tariff Rand Values 2025-26'!N42*'MSCOA - Tariff Structure'!$T$2)+'Tariff Rand Values 2025-26'!N42</f>
        <v>1929334.2632706799</v>
      </c>
      <c r="O46" s="1053">
        <f>('Tariff Rand Values 2025-26'!O42*'MSCOA - Tariff Structure'!$T$2)+'Tariff Rand Values 2025-26'!O42</f>
        <v>1929334.2632706799</v>
      </c>
      <c r="P46" s="1053">
        <f>('Tariff Rand Values 2025-26'!P42*'MSCOA - Tariff Structure'!$T$2)+'Tariff Rand Values 2025-26'!P42</f>
        <v>1929334.2632706799</v>
      </c>
      <c r="Q46" s="1053">
        <f>('Tariff Rand Values 2025-26'!Q42*'MSCOA - Tariff Structure'!$T$2)+'Tariff Rand Values 2025-26'!Q42</f>
        <v>1929334.2632706799</v>
      </c>
      <c r="R46" s="1053">
        <f>('Tariff Rand Values 2025-26'!R42*'MSCOA - Tariff Structure'!$T$2)+'Tariff Rand Values 2025-26'!R42</f>
        <v>1009813.1871548907</v>
      </c>
      <c r="S46" s="1053">
        <f>('Tariff Rand Values 2025-26'!S42*'MSCOA - Tariff Structure'!$T$2)+'Tariff Rand Values 2025-26'!S42</f>
        <v>1013308.8805023802</v>
      </c>
      <c r="T46" s="1053">
        <f>('Tariff Rand Values 2025-26'!T42*'MSCOA - Tariff Structure'!$T$2)+'Tariff Rand Values 2025-26'!T42</f>
        <v>1053384.8634946824</v>
      </c>
      <c r="U46" s="1053">
        <f>('Tariff Rand Values 2025-26'!U42*'MSCOA - Tariff Structure'!$T$2)+'Tariff Rand Values 2025-26'!U42</f>
        <v>1141534.0994451961</v>
      </c>
      <c r="V46" s="1054">
        <f t="shared" si="1"/>
        <v>14652512.510776034</v>
      </c>
      <c r="W46" s="1054">
        <f t="shared" si="2"/>
        <v>5073564.5558781559</v>
      </c>
    </row>
    <row r="47" spans="1:24" s="364" customFormat="1" x14ac:dyDescent="0.35">
      <c r="A47" s="1051" t="s">
        <v>257</v>
      </c>
      <c r="B47" s="1051" t="s">
        <v>257</v>
      </c>
      <c r="C47" s="1051" t="s">
        <v>861</v>
      </c>
      <c r="D47" s="1051" t="s">
        <v>1385</v>
      </c>
      <c r="E47" s="1127" t="s">
        <v>861</v>
      </c>
      <c r="F47" s="1127" t="s">
        <v>861</v>
      </c>
      <c r="G47" s="1127"/>
      <c r="H47" s="1127"/>
      <c r="I47" s="1053">
        <f t="shared" si="0"/>
        <v>40373090.807218142</v>
      </c>
      <c r="J47" s="1053">
        <f>('Tariff Rand Values 2025-26'!J43*'MSCOA - Tariff Structure'!$T$2)+'Tariff Rand Values 2025-26'!J43</f>
        <v>5367458.9555258006</v>
      </c>
      <c r="K47" s="1053">
        <f>('Tariff Rand Values 2025-26'!K43*'MSCOA - Tariff Structure'!$T$2)+'Tariff Rand Values 2025-26'!K43</f>
        <v>4912415.641357</v>
      </c>
      <c r="L47" s="1053">
        <f>('Tariff Rand Values 2025-26'!L43*'MSCOA - Tariff Structure'!$T$2)+'Tariff Rand Values 2025-26'!L43</f>
        <v>4094509.5327833197</v>
      </c>
      <c r="M47" s="1053">
        <f>('Tariff Rand Values 2025-26'!M43*'MSCOA - Tariff Structure'!$T$2)+'Tariff Rand Values 2025-26'!M43</f>
        <v>3733929.9484202797</v>
      </c>
      <c r="N47" s="1053">
        <f>('Tariff Rand Values 2025-26'!N43*'MSCOA - Tariff Structure'!$T$2)+'Tariff Rand Values 2025-26'!N43</f>
        <v>3111718.3266775198</v>
      </c>
      <c r="O47" s="1053">
        <f>('Tariff Rand Values 2025-26'!O43*'MSCOA - Tariff Structure'!$T$2)+'Tariff Rand Values 2025-26'!O43</f>
        <v>2776281.3523743199</v>
      </c>
      <c r="P47" s="1053">
        <f>('Tariff Rand Values 2025-26'!P43*'MSCOA - Tariff Structure'!$T$2)+'Tariff Rand Values 2025-26'!P43</f>
        <v>3382428.0985622401</v>
      </c>
      <c r="Q47" s="1053">
        <f>('Tariff Rand Values 2025-26'!Q43*'MSCOA - Tariff Structure'!$T$2)+'Tariff Rand Values 2025-26'!Q43</f>
        <v>3382428.0985622401</v>
      </c>
      <c r="R47" s="1053">
        <f>('Tariff Rand Values 2025-26'!R43*'MSCOA - Tariff Structure'!$T$2)+'Tariff Rand Values 2025-26'!R43</f>
        <v>2011722.7732395153</v>
      </c>
      <c r="S47" s="1053">
        <f>('Tariff Rand Values 2025-26'!S43*'MSCOA - Tariff Structure'!$T$2)+'Tariff Rand Values 2025-26'!S43</f>
        <v>2013676.6943631512</v>
      </c>
      <c r="T47" s="1053">
        <f>('Tariff Rand Values 2025-26'!T43*'MSCOA - Tariff Structure'!$T$2)+'Tariff Rand Values 2025-26'!T43</f>
        <v>2588945.4888177575</v>
      </c>
      <c r="U47" s="1053">
        <f>('Tariff Rand Values 2025-26'!U43*'MSCOA - Tariff Structure'!$T$2)+'Tariff Rand Values 2025-26'!U43</f>
        <v>2997575.8965349947</v>
      </c>
      <c r="V47" s="1054">
        <f t="shared" si="1"/>
        <v>27095640.313800346</v>
      </c>
      <c r="W47" s="1054">
        <f t="shared" si="2"/>
        <v>13277450.493417796</v>
      </c>
    </row>
    <row r="48" spans="1:24" s="364" customFormat="1" x14ac:dyDescent="0.35">
      <c r="A48" s="1038" t="s">
        <v>435</v>
      </c>
      <c r="B48" s="1038" t="s">
        <v>258</v>
      </c>
      <c r="C48" s="1038" t="s">
        <v>857</v>
      </c>
      <c r="D48" s="1038" t="s">
        <v>859</v>
      </c>
      <c r="E48" s="1122" t="s">
        <v>857</v>
      </c>
      <c r="F48" s="1122" t="s">
        <v>859</v>
      </c>
      <c r="G48" s="1122"/>
      <c r="H48" s="1122"/>
      <c r="I48" s="1043">
        <f t="shared" si="0"/>
        <v>37720998.258576736</v>
      </c>
      <c r="J48" s="1043">
        <f>('Tariff Rand Values 2025-26'!J44*'MSCOA - Tariff Structure'!$T$2)+'Tariff Rand Values 2025-26'!J44</f>
        <v>8491301.3802629597</v>
      </c>
      <c r="K48" s="1043">
        <f>('Tariff Rand Values 2025-26'!K44*'MSCOA - Tariff Structure'!$T$2)+'Tariff Rand Values 2025-26'!K44</f>
        <v>6855009.3448589193</v>
      </c>
      <c r="L48" s="1043">
        <f>('Tariff Rand Values 2025-26'!L44*'MSCOA - Tariff Structure'!$T$2)+'Tariff Rand Values 2025-26'!L44</f>
        <v>2719639.6984248795</v>
      </c>
      <c r="M48" s="1043">
        <f>('Tariff Rand Values 2025-26'!M44*'MSCOA - Tariff Structure'!$T$2)+'Tariff Rand Values 2025-26'!M44</f>
        <v>2753854.3977784002</v>
      </c>
      <c r="N48" s="1043">
        <f>('Tariff Rand Values 2025-26'!N44*'MSCOA - Tariff Structure'!$T$2)+'Tariff Rand Values 2025-26'!N44</f>
        <v>2120878.3833274799</v>
      </c>
      <c r="O48" s="1043">
        <f>('Tariff Rand Values 2025-26'!O44*'MSCOA - Tariff Structure'!$T$2)+'Tariff Rand Values 2025-26'!O44</f>
        <v>1527257.8175371999</v>
      </c>
      <c r="P48" s="1043">
        <f>('Tariff Rand Values 2025-26'!P44*'MSCOA - Tariff Structure'!$T$2)+'Tariff Rand Values 2025-26'!P44</f>
        <v>2293756.80362248</v>
      </c>
      <c r="Q48" s="1043">
        <f>('Tariff Rand Values 2025-26'!Q44*'MSCOA - Tariff Structure'!$T$2)+'Tariff Rand Values 2025-26'!Q44</f>
        <v>2293756.80362248</v>
      </c>
      <c r="R48" s="1043">
        <f>('Tariff Rand Values 2025-26'!R44*'MSCOA - Tariff Structure'!$T$2)+'Tariff Rand Values 2025-26'!R44</f>
        <v>1291574.1383736017</v>
      </c>
      <c r="S48" s="1043">
        <f>('Tariff Rand Values 2025-26'!S44*'MSCOA - Tariff Structure'!$T$2)+'Tariff Rand Values 2025-26'!S44</f>
        <v>1427539.6995884988</v>
      </c>
      <c r="T48" s="1043">
        <f>('Tariff Rand Values 2025-26'!T44*'MSCOA - Tariff Structure'!$T$2)+'Tariff Rand Values 2025-26'!T44</f>
        <v>1891230.9000716473</v>
      </c>
      <c r="U48" s="1043">
        <f>('Tariff Rand Values 2025-26'!U44*'MSCOA - Tariff Structure'!$T$2)+'Tariff Rand Values 2025-26'!U44</f>
        <v>4055198.891108186</v>
      </c>
      <c r="V48" s="1036">
        <f t="shared" si="1"/>
        <v>18319488.642346669</v>
      </c>
      <c r="W48" s="1036">
        <f t="shared" si="2"/>
        <v>19401509.616230063</v>
      </c>
    </row>
    <row r="49" spans="1:24" s="364" customFormat="1" x14ac:dyDescent="0.35">
      <c r="A49" s="1038" t="s">
        <v>438</v>
      </c>
      <c r="B49" s="1038" t="s">
        <v>259</v>
      </c>
      <c r="C49" s="1038" t="s">
        <v>856</v>
      </c>
      <c r="D49" s="1038" t="s">
        <v>858</v>
      </c>
      <c r="E49" s="1122" t="s">
        <v>856</v>
      </c>
      <c r="F49" s="1122" t="s">
        <v>858</v>
      </c>
      <c r="G49" s="1122"/>
      <c r="H49" s="1122"/>
      <c r="I49" s="1043">
        <f t="shared" si="0"/>
        <v>51858989.981400229</v>
      </c>
      <c r="J49" s="1043">
        <f>('Tariff Rand Values 2025-26'!J45*'MSCOA - Tariff Structure'!$T$2)+'Tariff Rand Values 2025-26'!J45</f>
        <v>9866943.9291704409</v>
      </c>
      <c r="K49" s="1043">
        <f>('Tariff Rand Values 2025-26'!K45*'MSCOA - Tariff Structure'!$T$2)+'Tariff Rand Values 2025-26'!K45</f>
        <v>8405697.5193340797</v>
      </c>
      <c r="L49" s="1043">
        <f>('Tariff Rand Values 2025-26'!L45*'MSCOA - Tariff Structure'!$T$2)+'Tariff Rand Values 2025-26'!L45</f>
        <v>4153037.1814240399</v>
      </c>
      <c r="M49" s="1043">
        <f>('Tariff Rand Values 2025-26'!M45*'MSCOA - Tariff Structure'!$T$2)+'Tariff Rand Values 2025-26'!M45</f>
        <v>3977162.43860516</v>
      </c>
      <c r="N49" s="1043">
        <f>('Tariff Rand Values 2025-26'!N45*'MSCOA - Tariff Structure'!$T$2)+'Tariff Rand Values 2025-26'!N45</f>
        <v>3396166.1711852001</v>
      </c>
      <c r="O49" s="1043">
        <f>('Tariff Rand Values 2025-26'!O45*'MSCOA - Tariff Structure'!$T$2)+'Tariff Rand Values 2025-26'!O45</f>
        <v>2346390.83929236</v>
      </c>
      <c r="P49" s="1043">
        <f>('Tariff Rand Values 2025-26'!P45*'MSCOA - Tariff Structure'!$T$2)+'Tariff Rand Values 2025-26'!P45</f>
        <v>3552719.8632660001</v>
      </c>
      <c r="Q49" s="1043">
        <f>('Tariff Rand Values 2025-26'!Q45*'MSCOA - Tariff Structure'!$T$2)+'Tariff Rand Values 2025-26'!Q45</f>
        <v>3552719.8632660001</v>
      </c>
      <c r="R49" s="1043">
        <f>('Tariff Rand Values 2025-26'!R45*'MSCOA - Tariff Structure'!$T$2)+'Tariff Rand Values 2025-26'!R45</f>
        <v>2408256.095314139</v>
      </c>
      <c r="S49" s="1043">
        <f>('Tariff Rand Values 2025-26'!S45*'MSCOA - Tariff Structure'!$T$2)+'Tariff Rand Values 2025-26'!S45</f>
        <v>2241450.3819573396</v>
      </c>
      <c r="T49" s="1043">
        <f>('Tariff Rand Values 2025-26'!T45*'MSCOA - Tariff Structure'!$T$2)+'Tariff Rand Values 2025-26'!T45</f>
        <v>2917867.2684484324</v>
      </c>
      <c r="U49" s="1043">
        <f>('Tariff Rand Values 2025-26'!U45*'MSCOA - Tariff Structure'!$T$2)+'Tariff Rand Values 2025-26'!U45</f>
        <v>5040578.4301370401</v>
      </c>
      <c r="V49" s="1036">
        <f t="shared" si="1"/>
        <v>28545770.102758668</v>
      </c>
      <c r="W49" s="1036">
        <f t="shared" si="2"/>
        <v>23313219.878641561</v>
      </c>
    </row>
    <row r="50" spans="1:24" s="364" customFormat="1" x14ac:dyDescent="0.35">
      <c r="A50" s="1038" t="s">
        <v>491</v>
      </c>
      <c r="B50" s="1038" t="s">
        <v>260</v>
      </c>
      <c r="C50" s="1038" t="s">
        <v>490</v>
      </c>
      <c r="D50" s="1038" t="s">
        <v>860</v>
      </c>
      <c r="E50" s="1122" t="s">
        <v>490</v>
      </c>
      <c r="F50" s="1122" t="s">
        <v>860</v>
      </c>
      <c r="G50" s="1122"/>
      <c r="H50" s="1122"/>
      <c r="I50" s="1043">
        <f t="shared" si="0"/>
        <v>50221656.160329372</v>
      </c>
      <c r="J50" s="1043">
        <f>('Tariff Rand Values 2025-26'!J46*'MSCOA - Tariff Structure'!$T$2)+'Tariff Rand Values 2025-26'!J46</f>
        <v>8707865.7686445601</v>
      </c>
      <c r="K50" s="1043">
        <f>('Tariff Rand Values 2025-26'!K46*'MSCOA - Tariff Structure'!$T$2)+'Tariff Rand Values 2025-26'!K46</f>
        <v>8364391.359872519</v>
      </c>
      <c r="L50" s="1043">
        <f>('Tariff Rand Values 2025-26'!L46*'MSCOA - Tariff Structure'!$T$2)+'Tariff Rand Values 2025-26'!L46</f>
        <v>4460241.3545202799</v>
      </c>
      <c r="M50" s="1043">
        <f>('Tariff Rand Values 2025-26'!M46*'MSCOA - Tariff Structure'!$T$2)+'Tariff Rand Values 2025-26'!M46</f>
        <v>3577485.0841550804</v>
      </c>
      <c r="N50" s="1043">
        <f>('Tariff Rand Values 2025-26'!N46*'MSCOA - Tariff Structure'!$T$2)+'Tariff Rand Values 2025-26'!N46</f>
        <v>3248143.4804517995</v>
      </c>
      <c r="O50" s="1043">
        <f>('Tariff Rand Values 2025-26'!O46*'MSCOA - Tariff Structure'!$T$2)+'Tariff Rand Values 2025-26'!O46</f>
        <v>3144017.1500133197</v>
      </c>
      <c r="P50" s="1043">
        <f>('Tariff Rand Values 2025-26'!P46*'MSCOA - Tariff Structure'!$T$2)+'Tariff Rand Values 2025-26'!P46</f>
        <v>3262361.4330952405</v>
      </c>
      <c r="Q50" s="1043">
        <f>('Tariff Rand Values 2025-26'!Q46*'MSCOA - Tariff Structure'!$T$2)+'Tariff Rand Values 2025-26'!Q46</f>
        <v>3262361.4330952405</v>
      </c>
      <c r="R50" s="1043">
        <f>('Tariff Rand Values 2025-26'!R46*'MSCOA - Tariff Structure'!$T$2)+'Tariff Rand Values 2025-26'!R46</f>
        <v>2268829.8782806313</v>
      </c>
      <c r="S50" s="1043">
        <f>('Tariff Rand Values 2025-26'!S46*'MSCOA - Tariff Structure'!$T$2)+'Tariff Rand Values 2025-26'!S46</f>
        <v>2328318.5209866683</v>
      </c>
      <c r="T50" s="1043">
        <f>('Tariff Rand Values 2025-26'!T46*'MSCOA - Tariff Structure'!$T$2)+'Tariff Rand Values 2025-26'!T46</f>
        <v>2704711.4171956787</v>
      </c>
      <c r="U50" s="1043">
        <f>('Tariff Rand Values 2025-26'!U46*'MSCOA - Tariff Structure'!$T$2)+'Tariff Rand Values 2025-26'!U46</f>
        <v>4892929.2800183548</v>
      </c>
      <c r="V50" s="1036">
        <f t="shared" si="1"/>
        <v>28256469.75179394</v>
      </c>
      <c r="W50" s="1036">
        <f t="shared" si="2"/>
        <v>21965186.408535436</v>
      </c>
    </row>
    <row r="51" spans="1:24" s="364" customFormat="1" ht="15" thickBot="1" x14ac:dyDescent="0.4">
      <c r="A51" s="359" t="s">
        <v>261</v>
      </c>
      <c r="I51" s="1060">
        <f>SUM(I52:I57)</f>
        <v>1139046810.372412</v>
      </c>
      <c r="J51" s="1125"/>
      <c r="K51" s="1125"/>
      <c r="L51" s="1125"/>
      <c r="M51" s="1125"/>
      <c r="N51" s="1125"/>
      <c r="O51" s="1125"/>
      <c r="P51" s="1125"/>
      <c r="Q51" s="1125"/>
      <c r="R51" s="1125"/>
      <c r="S51" s="1125"/>
      <c r="T51" s="1125"/>
      <c r="U51" s="1125"/>
      <c r="V51" s="611">
        <f>+V50+V49+V48+V47+V46+V45</f>
        <v>117048555.84228671</v>
      </c>
      <c r="W51" s="611">
        <f>+W50+W49+W48+W47+W46+W45</f>
        <v>83090489.126306698</v>
      </c>
      <c r="X51" s="364">
        <f>+W51+V51</f>
        <v>200139044.96859342</v>
      </c>
    </row>
    <row r="52" spans="1:24" s="364" customFormat="1" ht="15" thickTop="1" x14ac:dyDescent="0.35">
      <c r="A52" s="1040" t="s">
        <v>262</v>
      </c>
      <c r="B52" s="1040" t="s">
        <v>262</v>
      </c>
      <c r="C52" s="1040" t="s">
        <v>854</v>
      </c>
      <c r="D52" s="1040" t="s">
        <v>1383</v>
      </c>
      <c r="E52" s="1040" t="s">
        <v>854</v>
      </c>
      <c r="F52" s="1040" t="s">
        <v>854</v>
      </c>
      <c r="G52" s="1040"/>
      <c r="H52" s="1040"/>
      <c r="I52" s="1041">
        <f>SUM(J52:U52)</f>
        <v>8682082.3920693491</v>
      </c>
      <c r="J52" s="1041">
        <f>'Tariff SUMMARY 26-27'!$B$19*'Annexure A'!$V$82</f>
        <v>723506.86600577901</v>
      </c>
      <c r="K52" s="1041">
        <f>'Tariff SUMMARY 26-27'!$B$19*'Annexure A'!$V$82</f>
        <v>723506.86600577901</v>
      </c>
      <c r="L52" s="1041">
        <f>'Tariff SUMMARY 26-27'!$B$19*'Annexure A'!$V$82</f>
        <v>723506.86600577901</v>
      </c>
      <c r="M52" s="1041">
        <f>'Tariff SUMMARY 26-27'!$B$19*'Annexure A'!$V$82</f>
        <v>723506.86600577901</v>
      </c>
      <c r="N52" s="1041">
        <f>'Tariff SUMMARY 26-27'!$B$19*'Annexure A'!$V$82</f>
        <v>723506.86600577901</v>
      </c>
      <c r="O52" s="1041">
        <f>'Tariff SUMMARY 26-27'!$B$19*'Annexure A'!$V$82</f>
        <v>723506.86600577901</v>
      </c>
      <c r="P52" s="1041">
        <f>'Tariff SUMMARY 26-27'!$B$19*'Annexure A'!$V$82</f>
        <v>723506.86600577901</v>
      </c>
      <c r="Q52" s="1041">
        <f>'Tariff SUMMARY 26-27'!$B$19*'Annexure A'!$V$82</f>
        <v>723506.86600577901</v>
      </c>
      <c r="R52" s="1041">
        <f>'Tariff SUMMARY 26-27'!$B$19*'Annexure A'!$V$82</f>
        <v>723506.86600577901</v>
      </c>
      <c r="S52" s="1041">
        <f>'Tariff SUMMARY 26-27'!$B$19*'Annexure A'!$V$82</f>
        <v>723506.86600577901</v>
      </c>
      <c r="T52" s="1041">
        <f>'Tariff SUMMARY 26-27'!$B$19*'Annexure A'!$V$82</f>
        <v>723506.86600577901</v>
      </c>
      <c r="U52" s="1041">
        <f>'Tariff SUMMARY 26-27'!$B$19*'Annexure A'!$V$82</f>
        <v>723506.86600577901</v>
      </c>
      <c r="V52" s="1041">
        <f t="shared" ref="V52:V57" si="3">SUM(L52:T52)</f>
        <v>6511561.7940520123</v>
      </c>
      <c r="W52" s="1041">
        <f t="shared" ref="W52:W57" si="4">U52+J52+K52</f>
        <v>2170520.5980173368</v>
      </c>
    </row>
    <row r="53" spans="1:24" s="364" customFormat="1" x14ac:dyDescent="0.35">
      <c r="A53" s="1051" t="s">
        <v>262</v>
      </c>
      <c r="B53" s="1051" t="s">
        <v>262</v>
      </c>
      <c r="C53" s="1051" t="s">
        <v>854</v>
      </c>
      <c r="D53" s="1051" t="s">
        <v>854</v>
      </c>
      <c r="E53" s="1127" t="s">
        <v>854</v>
      </c>
      <c r="F53" s="1127" t="s">
        <v>854</v>
      </c>
      <c r="G53" s="1127"/>
      <c r="H53" s="1127"/>
      <c r="I53" s="1053">
        <f t="shared" ref="I53:I57" si="5">SUM(J53:U53)</f>
        <v>115258343.57231592</v>
      </c>
      <c r="J53" s="1053">
        <f>('Tariff Rand Values 2025-26'!J49*'MSCOA - Tariff Structure'!$T$2)+'Tariff Rand Values 2025-26'!J49</f>
        <v>10820768.827180481</v>
      </c>
      <c r="K53" s="1053">
        <f>('Tariff Rand Values 2025-26'!K49*'MSCOA - Tariff Structure'!$T$2)+'Tariff Rand Values 2025-26'!K49</f>
        <v>10651799.98130892</v>
      </c>
      <c r="L53" s="1053">
        <f>('Tariff Rand Values 2025-26'!L49*'MSCOA - Tariff Structure'!$T$2)+'Tariff Rand Values 2025-26'!L49</f>
        <v>10545443.965337679</v>
      </c>
      <c r="M53" s="1053">
        <f>('Tariff Rand Values 2025-26'!M49*'MSCOA - Tariff Structure'!$T$2)+'Tariff Rand Values 2025-26'!M49</f>
        <v>10618467.614896681</v>
      </c>
      <c r="N53" s="1053">
        <f>('Tariff Rand Values 2025-26'!N49*'MSCOA - Tariff Structure'!$T$2)+'Tariff Rand Values 2025-26'!N49</f>
        <v>10661411.676217681</v>
      </c>
      <c r="O53" s="1053">
        <f>('Tariff Rand Values 2025-26'!O49*'MSCOA - Tariff Structure'!$T$2)+'Tariff Rand Values 2025-26'!O49</f>
        <v>10693119.3211654</v>
      </c>
      <c r="P53" s="1053">
        <f>('Tariff Rand Values 2025-26'!P49*'MSCOA - Tariff Structure'!$T$2)+'Tariff Rand Values 2025-26'!P49</f>
        <v>10638217.578167479</v>
      </c>
      <c r="Q53" s="1053">
        <f>('Tariff Rand Values 2025-26'!Q49*'MSCOA - Tariff Structure'!$T$2)+'Tariff Rand Values 2025-26'!Q49</f>
        <v>10638217.578167479</v>
      </c>
      <c r="R53" s="1053">
        <f>('Tariff Rand Values 2025-26'!R49*'MSCOA - Tariff Structure'!$T$2)+'Tariff Rand Values 2025-26'!R49</f>
        <v>7406511.7121288814</v>
      </c>
      <c r="S53" s="1053">
        <f>('Tariff Rand Values 2025-26'!S49*'MSCOA - Tariff Structure'!$T$2)+'Tariff Rand Values 2025-26'!S49</f>
        <v>7455962.6996458722</v>
      </c>
      <c r="T53" s="1053">
        <f>('Tariff Rand Values 2025-26'!T49*'MSCOA - Tariff Structure'!$T$2)+'Tariff Rand Values 2025-26'!T49</f>
        <v>7534845.6421997799</v>
      </c>
      <c r="U53" s="1053">
        <f>('Tariff Rand Values 2025-26'!U49*'MSCOA - Tariff Structure'!$T$2)+'Tariff Rand Values 2025-26'!U49</f>
        <v>7593576.9758995799</v>
      </c>
      <c r="V53" s="1054">
        <f t="shared" si="3"/>
        <v>86192197.787926942</v>
      </c>
      <c r="W53" s="1054">
        <f t="shared" si="4"/>
        <v>29066145.784388982</v>
      </c>
    </row>
    <row r="54" spans="1:24" s="364" customFormat="1" x14ac:dyDescent="0.35">
      <c r="A54" s="1051" t="s">
        <v>263</v>
      </c>
      <c r="B54" s="1051" t="s">
        <v>263</v>
      </c>
      <c r="C54" s="1051" t="s">
        <v>853</v>
      </c>
      <c r="D54" s="1051" t="s">
        <v>1384</v>
      </c>
      <c r="E54" s="1127" t="s">
        <v>853</v>
      </c>
      <c r="F54" s="1127" t="s">
        <v>853</v>
      </c>
      <c r="G54" s="1127"/>
      <c r="H54" s="1127"/>
      <c r="I54" s="1053">
        <f t="shared" si="5"/>
        <v>252400440.32038254</v>
      </c>
      <c r="J54" s="1053">
        <f>('Tariff Rand Values 2025-26'!J50*'MSCOA - Tariff Structure'!$T$2)+'Tariff Rand Values 2025-26'!J50</f>
        <v>24243743.949873559</v>
      </c>
      <c r="K54" s="1053">
        <f>('Tariff Rand Values 2025-26'!K50*'MSCOA - Tariff Structure'!$T$2)+'Tariff Rand Values 2025-26'!K50</f>
        <v>23049598.119563397</v>
      </c>
      <c r="L54" s="1053">
        <f>('Tariff Rand Values 2025-26'!L50*'MSCOA - Tariff Structure'!$T$2)+'Tariff Rand Values 2025-26'!L50</f>
        <v>21670162.816283803</v>
      </c>
      <c r="M54" s="1053">
        <f>('Tariff Rand Values 2025-26'!M50*'MSCOA - Tariff Structure'!$T$2)+'Tariff Rand Values 2025-26'!M50</f>
        <v>22674307.028031122</v>
      </c>
      <c r="N54" s="1053">
        <f>('Tariff Rand Values 2025-26'!N50*'MSCOA - Tariff Structure'!$T$2)+'Tariff Rand Values 2025-26'!N50</f>
        <v>22883376.774571043</v>
      </c>
      <c r="O54" s="1053">
        <f>('Tariff Rand Values 2025-26'!O50*'MSCOA - Tariff Structure'!$T$2)+'Tariff Rand Values 2025-26'!O50</f>
        <v>23033913.721369319</v>
      </c>
      <c r="P54" s="1053">
        <f>('Tariff Rand Values 2025-26'!P50*'MSCOA - Tariff Structure'!$T$2)+'Tariff Rand Values 2025-26'!P50</f>
        <v>23348728.70166228</v>
      </c>
      <c r="Q54" s="1053">
        <f>('Tariff Rand Values 2025-26'!Q50*'MSCOA - Tariff Structure'!$T$2)+'Tariff Rand Values 2025-26'!Q50</f>
        <v>23263671.722124122</v>
      </c>
      <c r="R54" s="1053">
        <f>('Tariff Rand Values 2025-26'!R50*'MSCOA - Tariff Structure'!$T$2)+'Tariff Rand Values 2025-26'!R50</f>
        <v>17101048.154659674</v>
      </c>
      <c r="S54" s="1053">
        <f>('Tariff Rand Values 2025-26'!S50*'MSCOA - Tariff Structure'!$T$2)+'Tariff Rand Values 2025-26'!S50</f>
        <v>16870429.374319337</v>
      </c>
      <c r="T54" s="1053">
        <f>('Tariff Rand Values 2025-26'!T50*'MSCOA - Tariff Structure'!$T$2)+'Tariff Rand Values 2025-26'!T50</f>
        <v>16799912.55536972</v>
      </c>
      <c r="U54" s="1053">
        <f>('Tariff Rand Values 2025-26'!U50*'MSCOA - Tariff Structure'!$T$2)+'Tariff Rand Values 2025-26'!U50</f>
        <v>17461547.402555175</v>
      </c>
      <c r="V54" s="1054">
        <f>SUM(L54:T54)</f>
        <v>187645550.8483904</v>
      </c>
      <c r="W54" s="1054">
        <f t="shared" si="4"/>
        <v>64754889.471992135</v>
      </c>
    </row>
    <row r="55" spans="1:24" s="364" customFormat="1" x14ac:dyDescent="0.35">
      <c r="A55" s="1038" t="s">
        <v>423</v>
      </c>
      <c r="B55" s="1038" t="s">
        <v>264</v>
      </c>
      <c r="C55" s="1038" t="s">
        <v>849</v>
      </c>
      <c r="D55" s="1038" t="s">
        <v>852</v>
      </c>
      <c r="E55" s="1122" t="s">
        <v>849</v>
      </c>
      <c r="F55" s="1122" t="s">
        <v>852</v>
      </c>
      <c r="G55" s="1122"/>
      <c r="H55" s="1122"/>
      <c r="I55" s="1043">
        <f t="shared" si="5"/>
        <v>199896269.34876585</v>
      </c>
      <c r="J55" s="1036">
        <f>('Tariff Rand Values 2025-26'!J51*'MSCOA - Tariff Structure'!$T$2)+'Tariff Rand Values 2025-26'!J51</f>
        <v>33708283.615765639</v>
      </c>
      <c r="K55" s="1036">
        <f>('Tariff Rand Values 2025-26'!K51*'MSCOA - Tariff Structure'!$T$2)+'Tariff Rand Values 2025-26'!K51</f>
        <v>29393944.403080598</v>
      </c>
      <c r="L55" s="1036">
        <f>('Tariff Rand Values 2025-26'!L51*'MSCOA - Tariff Structure'!$T$2)+'Tariff Rand Values 2025-26'!L51</f>
        <v>13068065.121645523</v>
      </c>
      <c r="M55" s="1036">
        <f>('Tariff Rand Values 2025-26'!M51*'MSCOA - Tariff Structure'!$T$2)+'Tariff Rand Values 2025-26'!M51</f>
        <v>14421300.443314802</v>
      </c>
      <c r="N55" s="1036">
        <f>('Tariff Rand Values 2025-26'!N51*'MSCOA - Tariff Structure'!$T$2)+'Tariff Rand Values 2025-26'!N51</f>
        <v>13148335.64138612</v>
      </c>
      <c r="O55" s="1036">
        <f>('Tariff Rand Values 2025-26'!O51*'MSCOA - Tariff Structure'!$T$2)+'Tariff Rand Values 2025-26'!O51</f>
        <v>11965049.67826616</v>
      </c>
      <c r="P55" s="1036">
        <f>('Tariff Rand Values 2025-26'!P51*'MSCOA - Tariff Structure'!$T$2)+'Tariff Rand Values 2025-26'!P51</f>
        <v>14539108.604259958</v>
      </c>
      <c r="Q55" s="1036">
        <f>('Tariff Rand Values 2025-26'!Q51*'MSCOA - Tariff Structure'!$T$2)+'Tariff Rand Values 2025-26'!Q51</f>
        <v>14502526.646685559</v>
      </c>
      <c r="R55" s="1036">
        <f>('Tariff Rand Values 2025-26'!R51*'MSCOA - Tariff Structure'!$T$2)+'Tariff Rand Values 2025-26'!R51</f>
        <v>11285160.574092692</v>
      </c>
      <c r="S55" s="1036">
        <f>('Tariff Rand Values 2025-26'!S51*'MSCOA - Tariff Structure'!$T$2)+'Tariff Rand Values 2025-26'!S51</f>
        <v>9896823.1969084591</v>
      </c>
      <c r="T55" s="1036">
        <f>('Tariff Rand Values 2025-26'!T51*'MSCOA - Tariff Structure'!$T$2)+'Tariff Rand Values 2025-26'!T51</f>
        <v>10850088.509185029</v>
      </c>
      <c r="U55" s="1036">
        <f>('Tariff Rand Values 2025-26'!U51*'MSCOA - Tariff Structure'!$T$2)+'Tariff Rand Values 2025-26'!U51</f>
        <v>23117582.914175346</v>
      </c>
      <c r="V55" s="1036">
        <f t="shared" si="3"/>
        <v>113676458.41574429</v>
      </c>
      <c r="W55" s="1036">
        <f t="shared" si="4"/>
        <v>86219810.933021575</v>
      </c>
    </row>
    <row r="56" spans="1:24" s="364" customFormat="1" x14ac:dyDescent="0.35">
      <c r="A56" s="1038" t="s">
        <v>425</v>
      </c>
      <c r="B56" s="1038" t="s">
        <v>265</v>
      </c>
      <c r="C56" s="1038" t="s">
        <v>848</v>
      </c>
      <c r="D56" s="1038" t="s">
        <v>851</v>
      </c>
      <c r="E56" s="1122" t="s">
        <v>848</v>
      </c>
      <c r="F56" s="1122" t="s">
        <v>851</v>
      </c>
      <c r="G56" s="1122"/>
      <c r="H56" s="1122"/>
      <c r="I56" s="1043">
        <f t="shared" si="5"/>
        <v>291356844.26261288</v>
      </c>
      <c r="J56" s="1036">
        <f>('Tariff Rand Values 2025-26'!J52*'MSCOA - Tariff Structure'!$T$2)+'Tariff Rand Values 2025-26'!J52</f>
        <v>39107846.023375079</v>
      </c>
      <c r="K56" s="1036">
        <f>('Tariff Rand Values 2025-26'!K52*'MSCOA - Tariff Structure'!$T$2)+'Tariff Rand Values 2025-26'!K52</f>
        <v>35588225.627584279</v>
      </c>
      <c r="L56" s="1036">
        <f>('Tariff Rand Values 2025-26'!L52*'MSCOA - Tariff Structure'!$T$2)+'Tariff Rand Values 2025-26'!L52</f>
        <v>20930188.738807879</v>
      </c>
      <c r="M56" s="1036">
        <f>('Tariff Rand Values 2025-26'!M52*'MSCOA - Tariff Structure'!$T$2)+'Tariff Rand Values 2025-26'!M52</f>
        <v>22651037.578144919</v>
      </c>
      <c r="N56" s="1036">
        <f>('Tariff Rand Values 2025-26'!N52*'MSCOA - Tariff Structure'!$T$2)+'Tariff Rand Values 2025-26'!N52</f>
        <v>22084197.190749399</v>
      </c>
      <c r="O56" s="1036">
        <f>('Tariff Rand Values 2025-26'!O52*'MSCOA - Tariff Structure'!$T$2)+'Tariff Rand Values 2025-26'!O52</f>
        <v>20401837.748069398</v>
      </c>
      <c r="P56" s="1036">
        <f>('Tariff Rand Values 2025-26'!P52*'MSCOA - Tariff Structure'!$T$2)+'Tariff Rand Values 2025-26'!P52</f>
        <v>23655095.122928083</v>
      </c>
      <c r="Q56" s="1036">
        <f>('Tariff Rand Values 2025-26'!Q52*'MSCOA - Tariff Structure'!$T$2)+'Tariff Rand Values 2025-26'!Q52</f>
        <v>23598391.989292119</v>
      </c>
      <c r="R56" s="1036">
        <f>('Tariff Rand Values 2025-26'!R52*'MSCOA - Tariff Structure'!$T$2)+'Tariff Rand Values 2025-26'!R52</f>
        <v>19264329.807607014</v>
      </c>
      <c r="S56" s="1036">
        <f>('Tariff Rand Values 2025-26'!S52*'MSCOA - Tariff Structure'!$T$2)+'Tariff Rand Values 2025-26'!S52</f>
        <v>16938197.767606575</v>
      </c>
      <c r="T56" s="1036">
        <f>('Tariff Rand Values 2025-26'!T52*'MSCOA - Tariff Structure'!$T$2)+'Tariff Rand Values 2025-26'!T52</f>
        <v>17911534.277737495</v>
      </c>
      <c r="U56" s="1036">
        <f>('Tariff Rand Values 2025-26'!U52*'MSCOA - Tariff Structure'!$T$2)+'Tariff Rand Values 2025-26'!U52</f>
        <v>29225962.390710607</v>
      </c>
      <c r="V56" s="1036">
        <f>SUM(L56:T56)</f>
        <v>187434810.22094288</v>
      </c>
      <c r="W56" s="1036">
        <f t="shared" si="4"/>
        <v>103922034.04166996</v>
      </c>
    </row>
    <row r="57" spans="1:24" s="364" customFormat="1" x14ac:dyDescent="0.35">
      <c r="A57" s="1038" t="s">
        <v>421</v>
      </c>
      <c r="B57" s="1038" t="s">
        <v>266</v>
      </c>
      <c r="C57" s="1038" t="s">
        <v>850</v>
      </c>
      <c r="D57" s="1038" t="s">
        <v>855</v>
      </c>
      <c r="E57" s="1122" t="s">
        <v>850</v>
      </c>
      <c r="F57" s="1122" t="s">
        <v>855</v>
      </c>
      <c r="G57" s="1122"/>
      <c r="H57" s="1122"/>
      <c r="I57" s="1043">
        <f t="shared" si="5"/>
        <v>271452830.47626549</v>
      </c>
      <c r="J57" s="1036">
        <f>('Tariff Rand Values 2025-26'!J53*'MSCOA - Tariff Structure'!$T$2)+'Tariff Rand Values 2025-26'!J53</f>
        <v>33659366.87145704</v>
      </c>
      <c r="K57" s="1036">
        <f>('Tariff Rand Values 2025-26'!K53*'MSCOA - Tariff Structure'!$T$2)+'Tariff Rand Values 2025-26'!K53</f>
        <v>34412559.118593045</v>
      </c>
      <c r="L57" s="1036">
        <f>('Tariff Rand Values 2025-26'!L53*'MSCOA - Tariff Structure'!$T$2)+'Tariff Rand Values 2025-26'!L53</f>
        <v>21130326.389883198</v>
      </c>
      <c r="M57" s="1036">
        <f>('Tariff Rand Values 2025-26'!M53*'MSCOA - Tariff Structure'!$T$2)+'Tariff Rand Values 2025-26'!M53</f>
        <v>19908530.462760802</v>
      </c>
      <c r="N57" s="1036">
        <f>('Tariff Rand Values 2025-26'!N53*'MSCOA - Tariff Structure'!$T$2)+'Tariff Rand Values 2025-26'!N53</f>
        <v>20453294.713944398</v>
      </c>
      <c r="O57" s="1036">
        <f>('Tariff Rand Values 2025-26'!O53*'MSCOA - Tariff Structure'!$T$2)+'Tariff Rand Values 2025-26'!O53</f>
        <v>23020908.859168917</v>
      </c>
      <c r="P57" s="1036">
        <f>('Tariff Rand Values 2025-26'!P53*'MSCOA - Tariff Structure'!$T$2)+'Tariff Rand Values 2025-26'!P53</f>
        <v>21373117.170076001</v>
      </c>
      <c r="Q57" s="1036">
        <f>('Tariff Rand Values 2025-26'!Q53*'MSCOA - Tariff Structure'!$T$2)+'Tariff Rand Values 2025-26'!Q53</f>
        <v>21315869.143843681</v>
      </c>
      <c r="R57" s="1036">
        <f>('Tariff Rand Values 2025-26'!R53*'MSCOA - Tariff Structure'!$T$2)+'Tariff Rand Values 2025-26'!R53</f>
        <v>15941828.849678898</v>
      </c>
      <c r="S57" s="1036">
        <f>('Tariff Rand Values 2025-26'!S53*'MSCOA - Tariff Structure'!$T$2)+'Tariff Rand Values 2025-26'!S53</f>
        <v>16950141.12012209</v>
      </c>
      <c r="T57" s="1036">
        <f>('Tariff Rand Values 2025-26'!T53*'MSCOA - Tariff Structure'!$T$2)+'Tariff Rand Values 2025-26'!T53</f>
        <v>16844989.910108328</v>
      </c>
      <c r="U57" s="1036">
        <f>('Tariff Rand Values 2025-26'!U53*'MSCOA - Tariff Structure'!$T$2)+'Tariff Rand Values 2025-26'!U53</f>
        <v>26441897.86662906</v>
      </c>
      <c r="V57" s="1036">
        <f t="shared" si="3"/>
        <v>176939006.61958629</v>
      </c>
      <c r="W57" s="1036">
        <f t="shared" si="4"/>
        <v>94513823.856679142</v>
      </c>
    </row>
    <row r="58" spans="1:24" s="364" customFormat="1" ht="15" thickBot="1" x14ac:dyDescent="0.4">
      <c r="A58" s="359" t="s">
        <v>267</v>
      </c>
      <c r="I58" s="1060">
        <f>SUM(I59:I64)</f>
        <v>486353394.60936552</v>
      </c>
      <c r="J58" s="1125"/>
      <c r="K58" s="1125"/>
      <c r="L58" s="1125"/>
      <c r="M58" s="1125"/>
      <c r="N58" s="1125"/>
      <c r="O58" s="1125"/>
      <c r="P58" s="1125"/>
      <c r="Q58" s="1125"/>
      <c r="R58" s="1125"/>
      <c r="S58" s="1125"/>
      <c r="T58" s="1125"/>
      <c r="U58" s="1125"/>
      <c r="V58" s="611">
        <f>+V57+V56+V55+V54+V53+V52</f>
        <v>758399585.68664277</v>
      </c>
      <c r="W58" s="611">
        <f>+W57+W56+W55+W54+W53+W52</f>
        <v>380647224.68576914</v>
      </c>
      <c r="X58" s="364">
        <f>+W58+V58</f>
        <v>1139046810.372412</v>
      </c>
    </row>
    <row r="59" spans="1:24" s="364" customFormat="1" ht="15" thickTop="1" x14ac:dyDescent="0.35">
      <c r="A59" s="1040" t="s">
        <v>268</v>
      </c>
      <c r="B59" s="1040" t="s">
        <v>268</v>
      </c>
      <c r="C59" s="1040" t="s">
        <v>847</v>
      </c>
      <c r="D59" s="1040" t="s">
        <v>1386</v>
      </c>
      <c r="E59" s="1040" t="s">
        <v>847</v>
      </c>
      <c r="F59" s="1040" t="s">
        <v>847</v>
      </c>
      <c r="G59" s="1040"/>
      <c r="H59" s="1040"/>
      <c r="I59" s="1041">
        <f t="shared" ref="I59:I64" si="6">SUM(J59:U59)</f>
        <v>25470851.385871988</v>
      </c>
      <c r="J59" s="1041">
        <f>'Tariff SUMMARY 26-27'!$B$20*'Annexure A'!$V$92</f>
        <v>2122570.948822665</v>
      </c>
      <c r="K59" s="1041">
        <f>'Tariff SUMMARY 26-27'!$B$20*'Annexure A'!$V$92</f>
        <v>2122570.948822665</v>
      </c>
      <c r="L59" s="1041">
        <f>'Tariff SUMMARY 26-27'!$B$20*'Annexure A'!$V$92</f>
        <v>2122570.948822665</v>
      </c>
      <c r="M59" s="1041">
        <f>'Tariff SUMMARY 26-27'!$B$20*'Annexure A'!$V$92</f>
        <v>2122570.948822665</v>
      </c>
      <c r="N59" s="1041">
        <f>'Tariff SUMMARY 26-27'!$B$20*'Annexure A'!$V$92</f>
        <v>2122570.948822665</v>
      </c>
      <c r="O59" s="1041">
        <f>'Tariff SUMMARY 26-27'!$B$20*'Annexure A'!$V$92</f>
        <v>2122570.948822665</v>
      </c>
      <c r="P59" s="1041">
        <f>'Tariff SUMMARY 26-27'!$B$20*'Annexure A'!$V$92</f>
        <v>2122570.948822665</v>
      </c>
      <c r="Q59" s="1041">
        <f>'Tariff SUMMARY 26-27'!$B$20*'Annexure A'!$V$92</f>
        <v>2122570.948822665</v>
      </c>
      <c r="R59" s="1041">
        <f>'Tariff SUMMARY 26-27'!$B$20*'Annexure A'!$V$92</f>
        <v>2122570.948822665</v>
      </c>
      <c r="S59" s="1041">
        <f>'Tariff SUMMARY 26-27'!$B$20*'Annexure A'!$V$92</f>
        <v>2122570.948822665</v>
      </c>
      <c r="T59" s="1041">
        <f>'Tariff SUMMARY 26-27'!$B$20*'Annexure A'!$V$92</f>
        <v>2122570.948822665</v>
      </c>
      <c r="U59" s="1041">
        <f>'Tariff SUMMARY 26-27'!$B$20*'Annexure A'!$V$92</f>
        <v>2122570.948822665</v>
      </c>
      <c r="V59" s="1041">
        <f t="shared" ref="V59:V64" si="7">SUM(L59:T59)</f>
        <v>19103138.53940399</v>
      </c>
      <c r="W59" s="1041">
        <f t="shared" ref="W59:W64" si="8">U59+J59+K59</f>
        <v>6367712.8464679951</v>
      </c>
    </row>
    <row r="60" spans="1:24" s="364" customFormat="1" x14ac:dyDescent="0.35">
      <c r="A60" s="1051" t="s">
        <v>268</v>
      </c>
      <c r="B60" s="1051" t="s">
        <v>268</v>
      </c>
      <c r="C60" s="1051" t="s">
        <v>847</v>
      </c>
      <c r="D60" s="1051" t="s">
        <v>847</v>
      </c>
      <c r="E60" s="1127" t="s">
        <v>847</v>
      </c>
      <c r="F60" s="1127" t="s">
        <v>847</v>
      </c>
      <c r="G60" s="1127"/>
      <c r="H60" s="1127"/>
      <c r="I60" s="1053">
        <f t="shared" si="6"/>
        <v>60377413.802928776</v>
      </c>
      <c r="J60" s="1053">
        <f>('Tariff Rand Values 2025-26'!J56*'MSCOA - Tariff Structure'!$T$2)+'Tariff Rand Values 2025-26'!J56</f>
        <v>5435089.2541884407</v>
      </c>
      <c r="K60" s="1053">
        <f>('Tariff Rand Values 2025-26'!K56*'MSCOA - Tariff Structure'!$T$2)+'Tariff Rand Values 2025-26'!K56</f>
        <v>5370826.1943742009</v>
      </c>
      <c r="L60" s="1053">
        <f>('Tariff Rand Values 2025-26'!L56*'MSCOA - Tariff Structure'!$T$2)+'Tariff Rand Values 2025-26'!L56</f>
        <v>5377030.6274921605</v>
      </c>
      <c r="M60" s="1053">
        <f>('Tariff Rand Values 2025-26'!M56*'MSCOA - Tariff Structure'!$T$2)+'Tariff Rand Values 2025-26'!M56</f>
        <v>5443127.7015836006</v>
      </c>
      <c r="N60" s="1053">
        <f>('Tariff Rand Values 2025-26'!N56*'MSCOA - Tariff Structure'!$T$2)+'Tariff Rand Values 2025-26'!N56</f>
        <v>5550684.9617010402</v>
      </c>
      <c r="O60" s="1053">
        <f>('Tariff Rand Values 2025-26'!O56*'MSCOA - Tariff Structure'!$T$2)+'Tariff Rand Values 2025-26'!O56</f>
        <v>5630085.20479412</v>
      </c>
      <c r="P60" s="1053">
        <f>('Tariff Rand Values 2025-26'!P56*'MSCOA - Tariff Structure'!$T$2)+'Tariff Rand Values 2025-26'!P56</f>
        <v>5667989.2412130404</v>
      </c>
      <c r="Q60" s="1053">
        <f>('Tariff Rand Values 2025-26'!Q56*'MSCOA - Tariff Structure'!$T$2)+'Tariff Rand Values 2025-26'!Q56</f>
        <v>5674605.552407681</v>
      </c>
      <c r="R60" s="1053">
        <f>('Tariff Rand Values 2025-26'!R56*'MSCOA - Tariff Structure'!$T$2)+'Tariff Rand Values 2025-26'!R56</f>
        <v>4006658.3345311284</v>
      </c>
      <c r="S60" s="1053">
        <f>('Tariff Rand Values 2025-26'!S56*'MSCOA - Tariff Structure'!$T$2)+'Tariff Rand Values 2025-26'!S56</f>
        <v>4050793.7861809148</v>
      </c>
      <c r="T60" s="1053">
        <f>('Tariff Rand Values 2025-26'!T56*'MSCOA - Tariff Structure'!$T$2)+'Tariff Rand Values 2025-26'!T56</f>
        <v>4084420.7969617043</v>
      </c>
      <c r="U60" s="1053">
        <f>('Tariff Rand Values 2025-26'!U56*'MSCOA - Tariff Structure'!$T$2)+'Tariff Rand Values 2025-26'!U56</f>
        <v>4086102.1475007446</v>
      </c>
      <c r="V60" s="1054">
        <f t="shared" si="7"/>
        <v>45485396.206865385</v>
      </c>
      <c r="W60" s="1054">
        <f t="shared" si="8"/>
        <v>14892017.596063387</v>
      </c>
      <c r="X60" s="364" t="e">
        <f>+#REF!+#REF!</f>
        <v>#REF!</v>
      </c>
    </row>
    <row r="61" spans="1:24" s="364" customFormat="1" x14ac:dyDescent="0.35">
      <c r="A61" s="1051" t="s">
        <v>269</v>
      </c>
      <c r="B61" s="1051" t="s">
        <v>269</v>
      </c>
      <c r="C61" s="1051" t="s">
        <v>846</v>
      </c>
      <c r="D61" s="1051" t="s">
        <v>846</v>
      </c>
      <c r="E61" s="1127" t="s">
        <v>846</v>
      </c>
      <c r="F61" s="1127" t="s">
        <v>846</v>
      </c>
      <c r="G61" s="1127"/>
      <c r="H61" s="1127"/>
      <c r="I61" s="1053">
        <f t="shared" si="6"/>
        <v>123439527.52633938</v>
      </c>
      <c r="J61" s="1053">
        <f>('Tariff Rand Values 2025-26'!J57*'MSCOA - Tariff Structure'!$T$2)+'Tariff Rand Values 2025-26'!J57</f>
        <v>12380321.786931001</v>
      </c>
      <c r="K61" s="1053">
        <f>('Tariff Rand Values 2025-26'!K57*'MSCOA - Tariff Structure'!$T$2)+'Tariff Rand Values 2025-26'!K57</f>
        <v>11547093.932491321</v>
      </c>
      <c r="L61" s="1053">
        <f>('Tariff Rand Values 2025-26'!L57*'MSCOA - Tariff Structure'!$T$2)+'Tariff Rand Values 2025-26'!L57</f>
        <v>10781017.929613957</v>
      </c>
      <c r="M61" s="1053">
        <f>('Tariff Rand Values 2025-26'!M57*'MSCOA - Tariff Structure'!$T$2)+'Tariff Rand Values 2025-26'!M57</f>
        <v>11132944.88735464</v>
      </c>
      <c r="N61" s="1053">
        <f>('Tariff Rand Values 2025-26'!N57*'MSCOA - Tariff Structure'!$T$2)+'Tariff Rand Values 2025-26'!N57</f>
        <v>11304677.82386208</v>
      </c>
      <c r="O61" s="1053">
        <f>('Tariff Rand Values 2025-26'!O57*'MSCOA - Tariff Structure'!$T$2)+'Tariff Rand Values 2025-26'!O57</f>
        <v>11558977.497608241</v>
      </c>
      <c r="P61" s="1053">
        <f>('Tariff Rand Values 2025-26'!P57*'MSCOA - Tariff Structure'!$T$2)+'Tariff Rand Values 2025-26'!P57</f>
        <v>11253039.605939599</v>
      </c>
      <c r="Q61" s="1053">
        <f>('Tariff Rand Values 2025-26'!Q57*'MSCOA - Tariff Structure'!$T$2)+'Tariff Rand Values 2025-26'!Q57</f>
        <v>11272617.532321882</v>
      </c>
      <c r="R61" s="1053">
        <f>('Tariff Rand Values 2025-26'!R57*'MSCOA - Tariff Structure'!$T$2)+'Tariff Rand Values 2025-26'!R57</f>
        <v>7942538.3121688459</v>
      </c>
      <c r="S61" s="1053">
        <f>('Tariff Rand Values 2025-26'!S57*'MSCOA - Tariff Structure'!$T$2)+'Tariff Rand Values 2025-26'!S57</f>
        <v>7661866.5796824042</v>
      </c>
      <c r="T61" s="1053">
        <f>('Tariff Rand Values 2025-26'!T57*'MSCOA - Tariff Structure'!$T$2)+'Tariff Rand Values 2025-26'!T57</f>
        <v>8060467.6115328977</v>
      </c>
      <c r="U61" s="1053">
        <f>('Tariff Rand Values 2025-26'!U57*'MSCOA - Tariff Structure'!$T$2)+'Tariff Rand Values 2025-26'!U57</f>
        <v>8543964.0268324856</v>
      </c>
      <c r="V61" s="1054">
        <f t="shared" si="7"/>
        <v>90968147.78008455</v>
      </c>
      <c r="W61" s="1054">
        <f t="shared" si="8"/>
        <v>32471379.746254805</v>
      </c>
    </row>
    <row r="62" spans="1:24" s="364" customFormat="1" x14ac:dyDescent="0.35">
      <c r="A62" s="1038" t="s">
        <v>337</v>
      </c>
      <c r="B62" s="1038" t="s">
        <v>330</v>
      </c>
      <c r="C62" s="1038" t="s">
        <v>841</v>
      </c>
      <c r="D62" s="1038" t="s">
        <v>844</v>
      </c>
      <c r="E62" s="1122" t="s">
        <v>841</v>
      </c>
      <c r="F62" s="1122" t="s">
        <v>844</v>
      </c>
      <c r="G62" s="1122"/>
      <c r="H62" s="1122"/>
      <c r="I62" s="1043">
        <f t="shared" si="6"/>
        <v>75746386.800054789</v>
      </c>
      <c r="J62" s="1043">
        <f>('Tariff Rand Values 2025-26'!J58*'MSCOA - Tariff Structure'!$T$2)+'Tariff Rand Values 2025-26'!J58</f>
        <v>13350701.236255039</v>
      </c>
      <c r="K62" s="1043">
        <f>('Tariff Rand Values 2025-26'!K58*'MSCOA - Tariff Structure'!$T$2)+'Tariff Rand Values 2025-26'!K58</f>
        <v>11000306.595685963</v>
      </c>
      <c r="L62" s="1043">
        <f>('Tariff Rand Values 2025-26'!L58*'MSCOA - Tariff Structure'!$T$2)+'Tariff Rand Values 2025-26'!L58</f>
        <v>5036589.3401160398</v>
      </c>
      <c r="M62" s="1043">
        <f>('Tariff Rand Values 2025-26'!M58*'MSCOA - Tariff Structure'!$T$2)+'Tariff Rand Values 2025-26'!M58</f>
        <v>5477361.6094789207</v>
      </c>
      <c r="N62" s="1043">
        <f>('Tariff Rand Values 2025-26'!N58*'MSCOA - Tariff Structure'!$T$2)+'Tariff Rand Values 2025-26'!N58</f>
        <v>4899594.9588081995</v>
      </c>
      <c r="O62" s="1043">
        <f>('Tariff Rand Values 2025-26'!O58*'MSCOA - Tariff Structure'!$T$2)+'Tariff Rand Values 2025-26'!O58</f>
        <v>4442577.2906558402</v>
      </c>
      <c r="P62" s="1043">
        <f>('Tariff Rand Values 2025-26'!P58*'MSCOA - Tariff Structure'!$T$2)+'Tariff Rand Values 2025-26'!P58</f>
        <v>5505952.7148424396</v>
      </c>
      <c r="Q62" s="1043">
        <f>('Tariff Rand Values 2025-26'!Q58*'MSCOA - Tariff Structure'!$T$2)+'Tariff Rand Values 2025-26'!Q58</f>
        <v>5502842.7963375999</v>
      </c>
      <c r="R62" s="1043">
        <f>('Tariff Rand Values 2025-26'!R58*'MSCOA - Tariff Structure'!$T$2)+'Tariff Rand Values 2025-26'!R58</f>
        <v>4195555.1741418624</v>
      </c>
      <c r="S62" s="1043">
        <f>('Tariff Rand Values 2025-26'!S58*'MSCOA - Tariff Structure'!$T$2)+'Tariff Rand Values 2025-26'!S58</f>
        <v>3631827.2679846236</v>
      </c>
      <c r="T62" s="1043">
        <f>('Tariff Rand Values 2025-26'!T58*'MSCOA - Tariff Structure'!$T$2)+'Tariff Rand Values 2025-26'!T58</f>
        <v>4150138.091293606</v>
      </c>
      <c r="U62" s="1043">
        <f>('Tariff Rand Values 2025-26'!U58*'MSCOA - Tariff Structure'!$T$2)+'Tariff Rand Values 2025-26'!U58</f>
        <v>8552939.72445466</v>
      </c>
      <c r="V62" s="1036">
        <f t="shared" si="7"/>
        <v>42842439.243659124</v>
      </c>
      <c r="W62" s="1036">
        <f t="shared" si="8"/>
        <v>32903947.556395661</v>
      </c>
    </row>
    <row r="63" spans="1:24" s="364" customFormat="1" x14ac:dyDescent="0.35">
      <c r="A63" s="1038" t="s">
        <v>339</v>
      </c>
      <c r="B63" s="1038" t="s">
        <v>332</v>
      </c>
      <c r="C63" s="1038" t="s">
        <v>840</v>
      </c>
      <c r="D63" s="1038" t="s">
        <v>843</v>
      </c>
      <c r="E63" s="1122" t="s">
        <v>840</v>
      </c>
      <c r="F63" s="1122" t="s">
        <v>843</v>
      </c>
      <c r="G63" s="1122"/>
      <c r="H63" s="1122"/>
      <c r="I63" s="1043">
        <f t="shared" si="6"/>
        <v>109404069.29336509</v>
      </c>
      <c r="J63" s="1043">
        <f>('Tariff Rand Values 2025-26'!J59*'MSCOA - Tariff Structure'!$T$2)+'Tariff Rand Values 2025-26'!J59</f>
        <v>15297887.288283881</v>
      </c>
      <c r="K63" s="1043">
        <f>('Tariff Rand Values 2025-26'!K59*'MSCOA - Tariff Structure'!$T$2)+'Tariff Rand Values 2025-26'!K59</f>
        <v>13319939.738606758</v>
      </c>
      <c r="L63" s="1043">
        <f>('Tariff Rand Values 2025-26'!L59*'MSCOA - Tariff Structure'!$T$2)+'Tariff Rand Values 2025-26'!L59</f>
        <v>8068433.4235937595</v>
      </c>
      <c r="M63" s="1043">
        <f>('Tariff Rand Values 2025-26'!M59*'MSCOA - Tariff Structure'!$T$2)+'Tariff Rand Values 2025-26'!M59</f>
        <v>8656760.9676044006</v>
      </c>
      <c r="N63" s="1043">
        <f>('Tariff Rand Values 2025-26'!N59*'MSCOA - Tariff Structure'!$T$2)+'Tariff Rand Values 2025-26'!N59</f>
        <v>8213508.1034476394</v>
      </c>
      <c r="O63" s="1043">
        <f>('Tariff Rand Values 2025-26'!O59*'MSCOA - Tariff Structure'!$T$2)+'Tariff Rand Values 2025-26'!O59</f>
        <v>7458994.4074578797</v>
      </c>
      <c r="P63" s="1043">
        <f>('Tariff Rand Values 2025-26'!P59*'MSCOA - Tariff Structure'!$T$2)+'Tariff Rand Values 2025-26'!P59</f>
        <v>9001522.1386801191</v>
      </c>
      <c r="Q63" s="1043">
        <f>('Tariff Rand Values 2025-26'!Q59*'MSCOA - Tariff Structure'!$T$2)+'Tariff Rand Values 2025-26'!Q59</f>
        <v>8998902.1306368802</v>
      </c>
      <c r="R63" s="1043">
        <f>('Tariff Rand Values 2025-26'!R59*'MSCOA - Tariff Structure'!$T$2)+'Tariff Rand Values 2025-26'!R59</f>
        <v>7117007.2402951969</v>
      </c>
      <c r="S63" s="1043">
        <f>('Tariff Rand Values 2025-26'!S59*'MSCOA - Tariff Structure'!$T$2)+'Tariff Rand Values 2025-26'!S59</f>
        <v>6120987.3408535505</v>
      </c>
      <c r="T63" s="1043">
        <f>('Tariff Rand Values 2025-26'!T59*'MSCOA - Tariff Structure'!$T$2)+'Tariff Rand Values 2025-26'!T59</f>
        <v>6653978.7624730654</v>
      </c>
      <c r="U63" s="1043">
        <f>('Tariff Rand Values 2025-26'!U59*'MSCOA - Tariff Structure'!$T$2)+'Tariff Rand Values 2025-26'!U59</f>
        <v>10496147.751431964</v>
      </c>
      <c r="V63" s="1036">
        <f t="shared" si="7"/>
        <v>70290094.515042484</v>
      </c>
      <c r="W63" s="1036">
        <f t="shared" si="8"/>
        <v>39113974.778322607</v>
      </c>
    </row>
    <row r="64" spans="1:24" s="364" customFormat="1" x14ac:dyDescent="0.35">
      <c r="A64" s="1038" t="s">
        <v>335</v>
      </c>
      <c r="B64" s="1038" t="s">
        <v>328</v>
      </c>
      <c r="C64" s="1038" t="s">
        <v>842</v>
      </c>
      <c r="D64" s="1038" t="s">
        <v>845</v>
      </c>
      <c r="E64" s="1122" t="s">
        <v>842</v>
      </c>
      <c r="F64" s="1122" t="s">
        <v>845</v>
      </c>
      <c r="G64" s="1122"/>
      <c r="H64" s="1122"/>
      <c r="I64" s="1043">
        <f t="shared" si="6"/>
        <v>91915145.800805509</v>
      </c>
      <c r="J64" s="1043">
        <f>('Tariff Rand Values 2025-26'!J60*'MSCOA - Tariff Structure'!$T$2)+'Tariff Rand Values 2025-26'!J60</f>
        <v>11950490.517686</v>
      </c>
      <c r="K64" s="1043">
        <f>('Tariff Rand Values 2025-26'!K60*'MSCOA - Tariff Structure'!$T$2)+'Tariff Rand Values 2025-26'!K60</f>
        <v>11778386.973673038</v>
      </c>
      <c r="L64" s="1043">
        <f>('Tariff Rand Values 2025-26'!L60*'MSCOA - Tariff Structure'!$T$2)+'Tariff Rand Values 2025-26'!L60</f>
        <v>7446999.9763199603</v>
      </c>
      <c r="M64" s="1043">
        <f>('Tariff Rand Values 2025-26'!M60*'MSCOA - Tariff Structure'!$T$2)+'Tariff Rand Values 2025-26'!M60</f>
        <v>6952272.1730223987</v>
      </c>
      <c r="N64" s="1043">
        <f>('Tariff Rand Values 2025-26'!N60*'MSCOA - Tariff Structure'!$T$2)+'Tariff Rand Values 2025-26'!N60</f>
        <v>6970046.2629201598</v>
      </c>
      <c r="O64" s="1043">
        <f>('Tariff Rand Values 2025-26'!O60*'MSCOA - Tariff Structure'!$T$2)+'Tariff Rand Values 2025-26'!O60</f>
        <v>8005953.9664431605</v>
      </c>
      <c r="P64" s="1043">
        <f>('Tariff Rand Values 2025-26'!P60*'MSCOA - Tariff Structure'!$T$2)+'Tariff Rand Values 2025-26'!P60</f>
        <v>7520051.9013465997</v>
      </c>
      <c r="Q64" s="1043">
        <f>('Tariff Rand Values 2025-26'!Q60*'MSCOA - Tariff Structure'!$T$2)+'Tariff Rand Values 2025-26'!Q60</f>
        <v>7509843.9387126397</v>
      </c>
      <c r="R64" s="1043">
        <f>('Tariff Rand Values 2025-26'!R60*'MSCOA - Tariff Structure'!$T$2)+'Tariff Rand Values 2025-26'!R60</f>
        <v>5035269.3883912517</v>
      </c>
      <c r="S64" s="1043">
        <f>('Tariff Rand Values 2025-26'!S60*'MSCOA - Tariff Structure'!$T$2)+'Tariff Rand Values 2025-26'!S60</f>
        <v>5306502.853509821</v>
      </c>
      <c r="T64" s="1043">
        <f>('Tariff Rand Values 2025-26'!T60*'MSCOA - Tariff Structure'!$T$2)+'Tariff Rand Values 2025-26'!T60</f>
        <v>5350865.1347851148</v>
      </c>
      <c r="U64" s="1043">
        <f>('Tariff Rand Values 2025-26'!U60*'MSCOA - Tariff Structure'!$T$2)+'Tariff Rand Values 2025-26'!U60</f>
        <v>8088462.7139953729</v>
      </c>
      <c r="V64" s="1036">
        <f t="shared" si="7"/>
        <v>60097805.595451109</v>
      </c>
      <c r="W64" s="1036">
        <f t="shared" si="8"/>
        <v>31817340.205354411</v>
      </c>
    </row>
    <row r="65" spans="1:24" s="364" customFormat="1" ht="15" thickBot="1" x14ac:dyDescent="0.4">
      <c r="A65" s="359" t="s">
        <v>270</v>
      </c>
      <c r="I65" s="1060">
        <f>SUM(I66:I70)</f>
        <v>93432471.159511045</v>
      </c>
      <c r="J65" s="1125"/>
      <c r="K65" s="1125"/>
      <c r="L65" s="1125"/>
      <c r="M65" s="1125"/>
      <c r="N65" s="1125"/>
      <c r="O65" s="1125"/>
      <c r="P65" s="1125"/>
      <c r="Q65" s="1125"/>
      <c r="R65" s="1125"/>
      <c r="S65" s="1125"/>
      <c r="T65" s="1125"/>
      <c r="U65" s="1125"/>
      <c r="V65" s="611">
        <f>+V64+V63+V62+V61+V60+V59</f>
        <v>328787021.88050663</v>
      </c>
      <c r="W65" s="611">
        <f t="shared" ref="W65" si="9">+W64+W63+W62+W61+W60+W59</f>
        <v>157566372.72885886</v>
      </c>
      <c r="X65" s="364">
        <f>+V65+W65</f>
        <v>486353394.60936546</v>
      </c>
    </row>
    <row r="66" spans="1:24" s="364" customFormat="1" ht="15" thickTop="1" x14ac:dyDescent="0.35">
      <c r="A66" s="1040" t="s">
        <v>520</v>
      </c>
      <c r="B66" s="1040" t="s">
        <v>520</v>
      </c>
      <c r="C66" s="1040" t="s">
        <v>519</v>
      </c>
      <c r="D66" s="1040" t="s">
        <v>519</v>
      </c>
      <c r="E66" s="1040" t="s">
        <v>519</v>
      </c>
      <c r="F66" s="1040" t="s">
        <v>519</v>
      </c>
      <c r="G66" s="1040"/>
      <c r="H66" s="1040"/>
      <c r="I66" s="1041">
        <f>SUM(J66:U66)</f>
        <v>1979407.2062789521</v>
      </c>
      <c r="J66" s="1041">
        <f>'Tariff SUMMARY 26-27'!$B$12*'Annexure A'!$V$103</f>
        <v>164950.60052324604</v>
      </c>
      <c r="K66" s="1041">
        <f>'Tariff SUMMARY 26-27'!$B$12*'Annexure A'!$V$103</f>
        <v>164950.60052324604</v>
      </c>
      <c r="L66" s="1041">
        <f>'Tariff SUMMARY 26-27'!$B$12*'Annexure A'!$V$103</f>
        <v>164950.60052324604</v>
      </c>
      <c r="M66" s="1041">
        <f>'Tariff SUMMARY 26-27'!$B$12*'Annexure A'!$V$103</f>
        <v>164950.60052324604</v>
      </c>
      <c r="N66" s="1041">
        <f>'Tariff SUMMARY 26-27'!$B$12*'Annexure A'!$V$103</f>
        <v>164950.60052324604</v>
      </c>
      <c r="O66" s="1041">
        <f>'Tariff SUMMARY 26-27'!$B$12*'Annexure A'!$V$103</f>
        <v>164950.60052324604</v>
      </c>
      <c r="P66" s="1041">
        <f>'Tariff SUMMARY 26-27'!$B$12*'Annexure A'!$V$103</f>
        <v>164950.60052324604</v>
      </c>
      <c r="Q66" s="1041">
        <f>'Tariff SUMMARY 26-27'!$B$12*'Annexure A'!$V$103</f>
        <v>164950.60052324604</v>
      </c>
      <c r="R66" s="1041">
        <f>'Tariff SUMMARY 26-27'!$B$12*'Annexure A'!$V$103</f>
        <v>164950.60052324604</v>
      </c>
      <c r="S66" s="1041">
        <f>'Tariff SUMMARY 26-27'!$B$12*'Annexure A'!$V$103</f>
        <v>164950.60052324604</v>
      </c>
      <c r="T66" s="1041">
        <f>'Tariff SUMMARY 26-27'!$B$12*'Annexure A'!$V$103</f>
        <v>164950.60052324604</v>
      </c>
      <c r="U66" s="1041">
        <f>'Tariff SUMMARY 26-27'!$B$12*'Annexure A'!$V$103</f>
        <v>164950.60052324604</v>
      </c>
      <c r="V66" s="1041">
        <f>SUM(L66:T66)</f>
        <v>1484555.4047092141</v>
      </c>
      <c r="W66" s="1041">
        <f>U66+J66+K66</f>
        <v>494851.80156973813</v>
      </c>
    </row>
    <row r="67" spans="1:24" s="364" customFormat="1" x14ac:dyDescent="0.35">
      <c r="A67" s="1051" t="s">
        <v>518</v>
      </c>
      <c r="B67" s="1051" t="s">
        <v>518</v>
      </c>
      <c r="C67" s="1051" t="s">
        <v>517</v>
      </c>
      <c r="D67" s="1051" t="s">
        <v>517</v>
      </c>
      <c r="E67" s="1127" t="s">
        <v>517</v>
      </c>
      <c r="F67" s="1127" t="s">
        <v>517</v>
      </c>
      <c r="G67" s="1127"/>
      <c r="H67" s="1127"/>
      <c r="I67" s="1053">
        <f>SUM(J67:U67)</f>
        <v>3583865.0390280182</v>
      </c>
      <c r="J67" s="1053">
        <f>('Tariff Rand Values 2025-26'!J63*'MSCOA - Tariff Structure'!$T$2)+'Tariff Rand Values 2025-26'!J63</f>
        <v>440240.45833936008</v>
      </c>
      <c r="K67" s="1053">
        <f>('Tariff Rand Values 2025-26'!K63*'MSCOA - Tariff Structure'!$T$2)+'Tariff Rand Values 2025-26'!K63</f>
        <v>389153.24762944004</v>
      </c>
      <c r="L67" s="1053">
        <f>('Tariff Rand Values 2025-26'!L63*'MSCOA - Tariff Structure'!$T$2)+'Tariff Rand Values 2025-26'!L63</f>
        <v>323388.09219919995</v>
      </c>
      <c r="M67" s="1053">
        <f>('Tariff Rand Values 2025-26'!M63*'MSCOA - Tariff Structure'!$T$2)+'Tariff Rand Values 2025-26'!M63</f>
        <v>305682.17718388001</v>
      </c>
      <c r="N67" s="1053">
        <f>('Tariff Rand Values 2025-26'!N63*'MSCOA - Tariff Structure'!$T$2)+'Tariff Rand Values 2025-26'!N63</f>
        <v>289283.71534524002</v>
      </c>
      <c r="O67" s="1053">
        <f>('Tariff Rand Values 2025-26'!O63*'MSCOA - Tariff Structure'!$T$2)+'Tariff Rand Values 2025-26'!O63</f>
        <v>259705.45151908003</v>
      </c>
      <c r="P67" s="1053">
        <f>('Tariff Rand Values 2025-26'!P63*'MSCOA - Tariff Structure'!$T$2)+'Tariff Rand Values 2025-26'!P63</f>
        <v>280658.22773660003</v>
      </c>
      <c r="Q67" s="1053">
        <f>('Tariff Rand Values 2025-26'!Q63*'MSCOA - Tariff Structure'!$T$2)+'Tariff Rand Values 2025-26'!Q63</f>
        <v>275606.87535360001</v>
      </c>
      <c r="R67" s="1053">
        <f>('Tariff Rand Values 2025-26'!R63*'MSCOA - Tariff Structure'!$T$2)+'Tariff Rand Values 2025-26'!R63</f>
        <v>210340.06925350882</v>
      </c>
      <c r="S67" s="1053">
        <f>('Tariff Rand Values 2025-26'!S63*'MSCOA - Tariff Structure'!$T$2)+'Tariff Rand Values 2025-26'!S63</f>
        <v>212619.75135459815</v>
      </c>
      <c r="T67" s="1053">
        <f>('Tariff Rand Values 2025-26'!T63*'MSCOA - Tariff Structure'!$T$2)+'Tariff Rand Values 2025-26'!T63</f>
        <v>270305.16341488267</v>
      </c>
      <c r="U67" s="1053">
        <f>('Tariff Rand Values 2025-26'!U63*'MSCOA - Tariff Structure'!$T$2)+'Tariff Rand Values 2025-26'!U63</f>
        <v>326881.80969862861</v>
      </c>
      <c r="V67" s="1054">
        <f>SUM(L67:T67)</f>
        <v>2427589.5233605895</v>
      </c>
      <c r="W67" s="1054">
        <f>U67+J67+K67</f>
        <v>1156275.5156674287</v>
      </c>
    </row>
    <row r="68" spans="1:24" s="364" customFormat="1" x14ac:dyDescent="0.35">
      <c r="A68" s="1038" t="s">
        <v>498</v>
      </c>
      <c r="B68" s="1038" t="s">
        <v>503</v>
      </c>
      <c r="C68" s="1038" t="s">
        <v>497</v>
      </c>
      <c r="D68" s="1038" t="s">
        <v>502</v>
      </c>
      <c r="E68" s="1122" t="s">
        <v>497</v>
      </c>
      <c r="F68" s="1122" t="s">
        <v>502</v>
      </c>
      <c r="G68" s="1122"/>
      <c r="H68" s="1122"/>
      <c r="I68" s="1043">
        <f>SUM(J68:U68)</f>
        <v>22227041.910701528</v>
      </c>
      <c r="J68" s="1043">
        <f>('Tariff Rand Values 2025-26'!J64*'MSCOA - Tariff Structure'!$T$2)+'Tariff Rand Values 2025-26'!J64</f>
        <v>3981979.0761954002</v>
      </c>
      <c r="K68" s="1043">
        <f>('Tariff Rand Values 2025-26'!K64*'MSCOA - Tariff Structure'!$T$2)+'Tariff Rand Values 2025-26'!K64</f>
        <v>3126490.1400210802</v>
      </c>
      <c r="L68" s="1043">
        <f>('Tariff Rand Values 2025-26'!L64*'MSCOA - Tariff Structure'!$T$2)+'Tariff Rand Values 2025-26'!L64</f>
        <v>1643630.6989452003</v>
      </c>
      <c r="M68" s="1043">
        <f>('Tariff Rand Values 2025-26'!M64*'MSCOA - Tariff Structure'!$T$2)+'Tariff Rand Values 2025-26'!M64</f>
        <v>1659064.7190468402</v>
      </c>
      <c r="N68" s="1043">
        <f>('Tariff Rand Values 2025-26'!N64*'MSCOA - Tariff Structure'!$T$2)+'Tariff Rand Values 2025-26'!N64</f>
        <v>1362687.91302924</v>
      </c>
      <c r="O68" s="1043">
        <f>('Tariff Rand Values 2025-26'!O64*'MSCOA - Tariff Structure'!$T$2)+'Tariff Rand Values 2025-26'!O64</f>
        <v>960858.4977902401</v>
      </c>
      <c r="P68" s="1043">
        <f>('Tariff Rand Values 2025-26'!P64*'MSCOA - Tariff Structure'!$T$2)+'Tariff Rand Values 2025-26'!P64</f>
        <v>1306295.4636600402</v>
      </c>
      <c r="Q68" s="1043">
        <f>('Tariff Rand Values 2025-26'!Q64*'MSCOA - Tariff Structure'!$T$2)+'Tariff Rand Values 2025-26'!Q64</f>
        <v>1284550.3814161201</v>
      </c>
      <c r="R68" s="1043">
        <f>('Tariff Rand Values 2025-26'!R64*'MSCOA - Tariff Structure'!$T$2)+'Tariff Rand Values 2025-26'!R64</f>
        <v>1343589.1693772748</v>
      </c>
      <c r="S68" s="1043">
        <f>('Tariff Rand Values 2025-26'!S64*'MSCOA - Tariff Structure'!$T$2)+'Tariff Rand Values 2025-26'!S64</f>
        <v>1218264.2007259096</v>
      </c>
      <c r="T68" s="1043">
        <f>('Tariff Rand Values 2025-26'!T64*'MSCOA - Tariff Structure'!$T$2)+'Tariff Rand Values 2025-26'!T64</f>
        <v>1656023.5909207093</v>
      </c>
      <c r="U68" s="1043">
        <f>('Tariff Rand Values 2025-26'!U64*'MSCOA - Tariff Structure'!$T$2)+'Tariff Rand Values 2025-26'!U64</f>
        <v>2683608.0595734697</v>
      </c>
      <c r="V68" s="1036">
        <f>SUM(L68:T68)</f>
        <v>12434964.634911574</v>
      </c>
      <c r="W68" s="1036">
        <f>U68+J68+K68</f>
        <v>9792077.27578995</v>
      </c>
    </row>
    <row r="69" spans="1:24" s="364" customFormat="1" x14ac:dyDescent="0.35">
      <c r="A69" s="1038" t="s">
        <v>496</v>
      </c>
      <c r="B69" s="1038" t="s">
        <v>501</v>
      </c>
      <c r="C69" s="1038" t="s">
        <v>495</v>
      </c>
      <c r="D69" s="1038" t="s">
        <v>500</v>
      </c>
      <c r="E69" s="1122" t="s">
        <v>495</v>
      </c>
      <c r="F69" s="1122" t="s">
        <v>500</v>
      </c>
      <c r="G69" s="1122"/>
      <c r="H69" s="1122"/>
      <c r="I69" s="1043">
        <f>SUM(J69:U69)</f>
        <v>33815559.30120907</v>
      </c>
      <c r="J69" s="1043">
        <f>('Tariff Rand Values 2025-26'!J65*'MSCOA - Tariff Structure'!$T$2)+'Tariff Rand Values 2025-26'!J65</f>
        <v>5187629.896586759</v>
      </c>
      <c r="K69" s="1043">
        <f>('Tariff Rand Values 2025-26'!K65*'MSCOA - Tariff Structure'!$T$2)+'Tariff Rand Values 2025-26'!K65</f>
        <v>4230798.3738510003</v>
      </c>
      <c r="L69" s="1043">
        <f>('Tariff Rand Values 2025-26'!L65*'MSCOA - Tariff Structure'!$T$2)+'Tariff Rand Values 2025-26'!L65</f>
        <v>2594964.0205577202</v>
      </c>
      <c r="M69" s="1043">
        <f>('Tariff Rand Values 2025-26'!M65*'MSCOA - Tariff Structure'!$T$2)+'Tariff Rand Values 2025-26'!M65</f>
        <v>2489305.2808301998</v>
      </c>
      <c r="N69" s="1043">
        <f>('Tariff Rand Values 2025-26'!N65*'MSCOA - Tariff Structure'!$T$2)+'Tariff Rand Values 2025-26'!N65</f>
        <v>2255498.7247492</v>
      </c>
      <c r="O69" s="1043">
        <f>('Tariff Rand Values 2025-26'!O65*'MSCOA - Tariff Structure'!$T$2)+'Tariff Rand Values 2025-26'!O65</f>
        <v>1694226.6156844001</v>
      </c>
      <c r="P69" s="1043">
        <f>('Tariff Rand Values 2025-26'!P65*'MSCOA - Tariff Structure'!$T$2)+'Tariff Rand Values 2025-26'!P65</f>
        <v>2094505.6236630401</v>
      </c>
      <c r="Q69" s="1043">
        <f>('Tariff Rand Values 2025-26'!Q65*'MSCOA - Tariff Structure'!$T$2)+'Tariff Rand Values 2025-26'!Q65</f>
        <v>2067775.9927621998</v>
      </c>
      <c r="R69" s="1043">
        <f>('Tariff Rand Values 2025-26'!R65*'MSCOA - Tariff Structure'!$T$2)+'Tariff Rand Values 2025-26'!R65</f>
        <v>2362589.2710828558</v>
      </c>
      <c r="S69" s="1043">
        <f>('Tariff Rand Values 2025-26'!S65*'MSCOA - Tariff Structure'!$T$2)+'Tariff Rand Values 2025-26'!S65</f>
        <v>2094451.335522044</v>
      </c>
      <c r="T69" s="1043">
        <f>('Tariff Rand Values 2025-26'!T65*'MSCOA - Tariff Structure'!$T$2)+'Tariff Rand Values 2025-26'!T65</f>
        <v>2728254.0019163634</v>
      </c>
      <c r="U69" s="1043">
        <f>('Tariff Rand Values 2025-26'!U65*'MSCOA - Tariff Structure'!$T$2)+'Tariff Rand Values 2025-26'!U65</f>
        <v>4015560.1640032809</v>
      </c>
      <c r="V69" s="1036">
        <f>SUM(L69:T69)</f>
        <v>20381570.866768025</v>
      </c>
      <c r="W69" s="1036">
        <f>U69+J69+K69</f>
        <v>13433988.434441041</v>
      </c>
    </row>
    <row r="70" spans="1:24" s="364" customFormat="1" x14ac:dyDescent="0.35">
      <c r="A70" s="1038" t="s">
        <v>492</v>
      </c>
      <c r="B70" s="1038" t="s">
        <v>494</v>
      </c>
      <c r="C70" s="1038" t="s">
        <v>499</v>
      </c>
      <c r="D70" s="1038" t="s">
        <v>493</v>
      </c>
      <c r="E70" s="1122" t="s">
        <v>499</v>
      </c>
      <c r="F70" s="1122" t="s">
        <v>493</v>
      </c>
      <c r="G70" s="1122"/>
      <c r="H70" s="1122"/>
      <c r="I70" s="1043">
        <f>SUM(J70:U70)</f>
        <v>31826597.702293474</v>
      </c>
      <c r="J70" s="1043">
        <f>('Tariff Rand Values 2025-26'!J66*'MSCOA - Tariff Structure'!$T$2)+'Tariff Rand Values 2025-26'!J66</f>
        <v>4517560.4708864</v>
      </c>
      <c r="K70" s="1043">
        <f>('Tariff Rand Values 2025-26'!K66*'MSCOA - Tariff Structure'!$T$2)+'Tariff Rand Values 2025-26'!K66</f>
        <v>4171546.4581859601</v>
      </c>
      <c r="L70" s="1043">
        <f>('Tariff Rand Values 2025-26'!L66*'MSCOA - Tariff Structure'!$T$2)+'Tariff Rand Values 2025-26'!L66</f>
        <v>2503810.8304319596</v>
      </c>
      <c r="M70" s="1043">
        <f>('Tariff Rand Values 2025-26'!M66*'MSCOA - Tariff Structure'!$T$2)+'Tariff Rand Values 2025-26'!M66</f>
        <v>2144687.5005925596</v>
      </c>
      <c r="N70" s="1043">
        <f>('Tariff Rand Values 2025-26'!N66*'MSCOA - Tariff Structure'!$T$2)+'Tariff Rand Values 2025-26'!N66</f>
        <v>2189423.8856257601</v>
      </c>
      <c r="O70" s="1043">
        <f>('Tariff Rand Values 2025-26'!O66*'MSCOA - Tariff Structure'!$T$2)+'Tariff Rand Values 2025-26'!O66</f>
        <v>2306856.0409092801</v>
      </c>
      <c r="P70" s="1043">
        <f>('Tariff Rand Values 2025-26'!P66*'MSCOA - Tariff Structure'!$T$2)+'Tariff Rand Values 2025-26'!P66</f>
        <v>2334252.4737949199</v>
      </c>
      <c r="Q70" s="1043">
        <f>('Tariff Rand Values 2025-26'!Q66*'MSCOA - Tariff Structure'!$T$2)+'Tariff Rand Values 2025-26'!Q66</f>
        <v>2296689.0400274801</v>
      </c>
      <c r="R70" s="1043">
        <f>('Tariff Rand Values 2025-26'!R66*'MSCOA - Tariff Structure'!$T$2)+'Tariff Rand Values 2025-26'!R66</f>
        <v>1808880.1199600594</v>
      </c>
      <c r="S70" s="1043">
        <f>('Tariff Rand Values 2025-26'!S66*'MSCOA - Tariff Structure'!$T$2)+'Tariff Rand Values 2025-26'!S66</f>
        <v>1925958.4399665918</v>
      </c>
      <c r="T70" s="1043">
        <f>('Tariff Rand Values 2025-26'!T66*'MSCOA - Tariff Structure'!$T$2)+'Tariff Rand Values 2025-26'!T66</f>
        <v>2239099.8609297872</v>
      </c>
      <c r="U70" s="1043">
        <f>('Tariff Rand Values 2025-26'!U66*'MSCOA - Tariff Structure'!$T$2)+'Tariff Rand Values 2025-26'!U66</f>
        <v>3387832.5809827172</v>
      </c>
      <c r="V70" s="1036">
        <f>SUM(L70:T70)</f>
        <v>19749658.192238402</v>
      </c>
      <c r="W70" s="1036">
        <f>U70+J70+K70</f>
        <v>12076939.510055076</v>
      </c>
    </row>
    <row r="71" spans="1:24" s="364" customFormat="1" ht="15" thickBot="1" x14ac:dyDescent="0.4">
      <c r="A71" s="359" t="s">
        <v>271</v>
      </c>
      <c r="I71" s="1060">
        <f>SUM(I72:I76)</f>
        <v>125105370.19433472</v>
      </c>
      <c r="J71" s="1125"/>
      <c r="K71" s="1125"/>
      <c r="L71" s="1125"/>
      <c r="M71" s="1125"/>
      <c r="N71" s="1125"/>
      <c r="O71" s="1125"/>
      <c r="P71" s="1125"/>
      <c r="Q71" s="1125"/>
      <c r="R71" s="1125"/>
      <c r="S71" s="1125"/>
      <c r="T71" s="1125"/>
      <c r="U71" s="1125"/>
      <c r="V71" s="611">
        <f>+V70+V69+V68+V67+V66</f>
        <v>56478338.621987797</v>
      </c>
      <c r="W71" s="611">
        <f>+W70+W69+W68+W67+W66</f>
        <v>36954132.53752324</v>
      </c>
      <c r="X71" s="364">
        <f>+V71+W71</f>
        <v>93432471.15951103</v>
      </c>
    </row>
    <row r="72" spans="1:24" s="364" customFormat="1" ht="15" thickTop="1" x14ac:dyDescent="0.35">
      <c r="A72" s="1040" t="s">
        <v>342</v>
      </c>
      <c r="B72" s="1040" t="s">
        <v>342</v>
      </c>
      <c r="C72" s="1040" t="s">
        <v>1062</v>
      </c>
      <c r="D72" s="1040" t="s">
        <v>1387</v>
      </c>
      <c r="E72" s="1040" t="s">
        <v>1062</v>
      </c>
      <c r="F72" s="1040" t="s">
        <v>1062</v>
      </c>
      <c r="G72" s="1040"/>
      <c r="H72" s="1040"/>
      <c r="I72" s="1041">
        <f>SUM(J72:U72)</f>
        <v>10445773.67994017</v>
      </c>
      <c r="J72" s="1041">
        <f>'Tariff SUMMARY 26-27'!$B$13*'Annexure A'!$V$112</f>
        <v>870481.13999501395</v>
      </c>
      <c r="K72" s="1041">
        <f>'Tariff SUMMARY 26-27'!$B$13*'Annexure A'!$V$112</f>
        <v>870481.13999501395</v>
      </c>
      <c r="L72" s="1041">
        <f>'Tariff SUMMARY 26-27'!$B$13*'Annexure A'!$V$112</f>
        <v>870481.13999501395</v>
      </c>
      <c r="M72" s="1041">
        <f>'Tariff SUMMARY 26-27'!$B$13*'Annexure A'!$V$112</f>
        <v>870481.13999501395</v>
      </c>
      <c r="N72" s="1041">
        <f>'Tariff SUMMARY 26-27'!$B$13*'Annexure A'!$V$112</f>
        <v>870481.13999501395</v>
      </c>
      <c r="O72" s="1041">
        <f>'Tariff SUMMARY 26-27'!$B$13*'Annexure A'!$V$112</f>
        <v>870481.13999501395</v>
      </c>
      <c r="P72" s="1041">
        <f>'Tariff SUMMARY 26-27'!$B$13*'Annexure A'!$V$112</f>
        <v>870481.13999501395</v>
      </c>
      <c r="Q72" s="1041">
        <f>'Tariff SUMMARY 26-27'!$B$13*'Annexure A'!$V$112</f>
        <v>870481.13999501395</v>
      </c>
      <c r="R72" s="1041">
        <f>'Tariff SUMMARY 26-27'!$B$13*'Annexure A'!$V$112</f>
        <v>870481.13999501395</v>
      </c>
      <c r="S72" s="1041">
        <f>'Tariff SUMMARY 26-27'!$B$13*'Annexure A'!$V$112</f>
        <v>870481.13999501395</v>
      </c>
      <c r="T72" s="1041">
        <f>'Tariff SUMMARY 26-27'!$B$13*'Annexure A'!$V$112</f>
        <v>870481.13999501395</v>
      </c>
      <c r="U72" s="1041">
        <f>'Tariff SUMMARY 26-27'!$B$13*'Annexure A'!$V$112</f>
        <v>870481.13999501395</v>
      </c>
      <c r="V72" s="1041">
        <f>SUM(L72:T72)</f>
        <v>7834330.2599551268</v>
      </c>
      <c r="W72" s="1041">
        <f>U72+J72+K72</f>
        <v>2611443.419985042</v>
      </c>
    </row>
    <row r="73" spans="1:24" s="364" customFormat="1" x14ac:dyDescent="0.35">
      <c r="A73" s="1051" t="s">
        <v>272</v>
      </c>
      <c r="B73" s="1051" t="s">
        <v>272</v>
      </c>
      <c r="C73" s="1051" t="s">
        <v>1063</v>
      </c>
      <c r="D73" s="1051" t="s">
        <v>1063</v>
      </c>
      <c r="E73" s="1127" t="s">
        <v>1063</v>
      </c>
      <c r="F73" s="1127" t="s">
        <v>1063</v>
      </c>
      <c r="G73" s="1127"/>
      <c r="H73" s="1127"/>
      <c r="I73" s="1053">
        <f>SUM(J73:U73)</f>
        <v>3763175.1523300125</v>
      </c>
      <c r="J73" s="1053">
        <f>('Tariff Rand Values 2025-26'!J69*'MSCOA - Tariff Structure'!$T$2)+'Tariff Rand Values 2025-26'!J69</f>
        <v>472330.24827043997</v>
      </c>
      <c r="K73" s="1053">
        <f>('Tariff Rand Values 2025-26'!K69*'MSCOA - Tariff Structure'!$T$2)+'Tariff Rand Values 2025-26'!K69</f>
        <v>462805.12150376005</v>
      </c>
      <c r="L73" s="1053">
        <f>('Tariff Rand Values 2025-26'!L69*'MSCOA - Tariff Structure'!$T$2)+'Tariff Rand Values 2025-26'!L69</f>
        <v>362819.80680008</v>
      </c>
      <c r="M73" s="1053">
        <f>('Tariff Rand Values 2025-26'!M69*'MSCOA - Tariff Structure'!$T$2)+'Tariff Rand Values 2025-26'!M69</f>
        <v>354704.93287880003</v>
      </c>
      <c r="N73" s="1053">
        <f>('Tariff Rand Values 2025-26'!N69*'MSCOA - Tariff Structure'!$T$2)+'Tariff Rand Values 2025-26'!N69</f>
        <v>304411.39935163996</v>
      </c>
      <c r="O73" s="1053">
        <f>('Tariff Rand Values 2025-26'!O69*'MSCOA - Tariff Structure'!$T$2)+'Tariff Rand Values 2025-26'!O69</f>
        <v>237145.96416112001</v>
      </c>
      <c r="P73" s="1053">
        <f>('Tariff Rand Values 2025-26'!P69*'MSCOA - Tariff Structure'!$T$2)+'Tariff Rand Values 2025-26'!P69</f>
        <v>287872.82015632</v>
      </c>
      <c r="Q73" s="1053">
        <f>('Tariff Rand Values 2025-26'!Q69*'MSCOA - Tariff Structure'!$T$2)+'Tariff Rand Values 2025-26'!Q69</f>
        <v>287782.01501755998</v>
      </c>
      <c r="R73" s="1053">
        <f>('Tariff Rand Values 2025-26'!R69*'MSCOA - Tariff Structure'!$T$2)+'Tariff Rand Values 2025-26'!R69</f>
        <v>207831.6148309861</v>
      </c>
      <c r="S73" s="1053">
        <f>('Tariff Rand Values 2025-26'!S69*'MSCOA - Tariff Structure'!$T$2)+'Tariff Rand Values 2025-26'!S69</f>
        <v>213643.68506251799</v>
      </c>
      <c r="T73" s="1053">
        <f>('Tariff Rand Values 2025-26'!T69*'MSCOA - Tariff Structure'!$T$2)+'Tariff Rand Values 2025-26'!T69</f>
        <v>272485.88575140666</v>
      </c>
      <c r="U73" s="1053">
        <f>('Tariff Rand Values 2025-26'!U69*'MSCOA - Tariff Structure'!$T$2)+'Tariff Rand Values 2025-26'!U69</f>
        <v>299341.65854538174</v>
      </c>
      <c r="V73" s="1054">
        <f>SUM(L73:T73)</f>
        <v>2528698.1240104306</v>
      </c>
      <c r="W73" s="1054">
        <f>U73+J73+K73</f>
        <v>1234477.0283195819</v>
      </c>
    </row>
    <row r="74" spans="1:24" s="364" customFormat="1" x14ac:dyDescent="0.35">
      <c r="A74" s="1038" t="s">
        <v>349</v>
      </c>
      <c r="B74" s="1038" t="s">
        <v>345</v>
      </c>
      <c r="C74" s="1038" t="s">
        <v>878</v>
      </c>
      <c r="D74" s="1038" t="s">
        <v>881</v>
      </c>
      <c r="E74" s="1122" t="s">
        <v>878</v>
      </c>
      <c r="F74" s="1122" t="s">
        <v>881</v>
      </c>
      <c r="G74" s="1122"/>
      <c r="H74" s="1122"/>
      <c r="I74" s="1043">
        <f>SUM(J74:U74)</f>
        <v>26806056.970107123</v>
      </c>
      <c r="J74" s="1043">
        <f>('Tariff Rand Values 2025-26'!J70*'MSCOA - Tariff Structure'!$T$2)+'Tariff Rand Values 2025-26'!J70</f>
        <v>4761539.2283611596</v>
      </c>
      <c r="K74" s="1043">
        <f>('Tariff Rand Values 2025-26'!K70*'MSCOA - Tariff Structure'!$T$2)+'Tariff Rand Values 2025-26'!K70</f>
        <v>3820073.7361360006</v>
      </c>
      <c r="L74" s="1043">
        <f>('Tariff Rand Values 2025-26'!L70*'MSCOA - Tariff Structure'!$T$2)+'Tariff Rand Values 2025-26'!L70</f>
        <v>2119829.7822366003</v>
      </c>
      <c r="M74" s="1043">
        <f>('Tariff Rand Values 2025-26'!M70*'MSCOA - Tariff Structure'!$T$2)+'Tariff Rand Values 2025-26'!M70</f>
        <v>2230132.5050278404</v>
      </c>
      <c r="N74" s="1043">
        <f>('Tariff Rand Values 2025-26'!N70*'MSCOA - Tariff Structure'!$T$2)+'Tariff Rand Values 2025-26'!N70</f>
        <v>1710616.7147045203</v>
      </c>
      <c r="O74" s="1043">
        <f>('Tariff Rand Values 2025-26'!O70*'MSCOA - Tariff Structure'!$T$2)+'Tariff Rand Values 2025-26'!O70</f>
        <v>1224819.3886600002</v>
      </c>
      <c r="P74" s="1043">
        <f>('Tariff Rand Values 2025-26'!P70*'MSCOA - Tariff Structure'!$T$2)+'Tariff Rand Values 2025-26'!P70</f>
        <v>1573466.2315685602</v>
      </c>
      <c r="Q74" s="1043">
        <f>('Tariff Rand Values 2025-26'!Q70*'MSCOA - Tariff Structure'!$T$2)+'Tariff Rand Values 2025-26'!Q70</f>
        <v>1567545.4795840001</v>
      </c>
      <c r="R74" s="1043">
        <f>('Tariff Rand Values 2025-26'!R70*'MSCOA - Tariff Structure'!$T$2)+'Tariff Rand Values 2025-26'!R70</f>
        <v>1417369.5364221749</v>
      </c>
      <c r="S74" s="1043">
        <f>('Tariff Rand Values 2025-26'!S70*'MSCOA - Tariff Structure'!$T$2)+'Tariff Rand Values 2025-26'!S70</f>
        <v>1309329.2326960217</v>
      </c>
      <c r="T74" s="1043">
        <f>('Tariff Rand Values 2025-26'!T70*'MSCOA - Tariff Structure'!$T$2)+'Tariff Rand Values 2025-26'!T70</f>
        <v>1907353.3166801347</v>
      </c>
      <c r="U74" s="1043">
        <f>('Tariff Rand Values 2025-26'!U70*'MSCOA - Tariff Structure'!$T$2)+'Tariff Rand Values 2025-26'!U70</f>
        <v>3163981.8180301092</v>
      </c>
      <c r="V74" s="1036">
        <f>SUM(L74:T74)</f>
        <v>15060462.187579852</v>
      </c>
      <c r="W74" s="1036">
        <f>U74+J74+K74</f>
        <v>11745594.78252727</v>
      </c>
    </row>
    <row r="75" spans="1:24" s="364" customFormat="1" x14ac:dyDescent="0.35">
      <c r="A75" s="1038" t="s">
        <v>353</v>
      </c>
      <c r="B75" s="1038" t="s">
        <v>273</v>
      </c>
      <c r="C75" s="1038" t="s">
        <v>877</v>
      </c>
      <c r="D75" s="1038" t="s">
        <v>880</v>
      </c>
      <c r="E75" s="1122" t="s">
        <v>877</v>
      </c>
      <c r="F75" s="1122" t="s">
        <v>880</v>
      </c>
      <c r="G75" s="1122"/>
      <c r="H75" s="1122"/>
      <c r="I75" s="1043">
        <f>SUM(J75:U75)</f>
        <v>46718807.606340013</v>
      </c>
      <c r="J75" s="1043">
        <f>('Tariff Rand Values 2025-26'!J71*'MSCOA - Tariff Structure'!$T$2)+'Tariff Rand Values 2025-26'!J71</f>
        <v>7784162.77942828</v>
      </c>
      <c r="K75" s="1043">
        <f>('Tariff Rand Values 2025-26'!K71*'MSCOA - Tariff Structure'!$T$2)+'Tariff Rand Values 2025-26'!K71</f>
        <v>6619463.5942864791</v>
      </c>
      <c r="L75" s="1043">
        <f>('Tariff Rand Values 2025-26'!L71*'MSCOA - Tariff Structure'!$T$2)+'Tariff Rand Values 2025-26'!L71</f>
        <v>3756603.5876334007</v>
      </c>
      <c r="M75" s="1043">
        <f>('Tariff Rand Values 2025-26'!M71*'MSCOA - Tariff Structure'!$T$2)+'Tariff Rand Values 2025-26'!M71</f>
        <v>3732979.45294932</v>
      </c>
      <c r="N75" s="1043">
        <f>('Tariff Rand Values 2025-26'!N71*'MSCOA - Tariff Structure'!$T$2)+'Tariff Rand Values 2025-26'!N71</f>
        <v>3109593.3925495595</v>
      </c>
      <c r="O75" s="1043">
        <f>('Tariff Rand Values 2025-26'!O71*'MSCOA - Tariff Structure'!$T$2)+'Tariff Rand Values 2025-26'!O71</f>
        <v>2340985.5556298401</v>
      </c>
      <c r="P75" s="1043">
        <f>('Tariff Rand Values 2025-26'!P71*'MSCOA - Tariff Structure'!$T$2)+'Tariff Rand Values 2025-26'!P71</f>
        <v>2870473.7291011601</v>
      </c>
      <c r="Q75" s="1043">
        <f>('Tariff Rand Values 2025-26'!Q71*'MSCOA - Tariff Structure'!$T$2)+'Tariff Rand Values 2025-26'!Q71</f>
        <v>2858472.00983484</v>
      </c>
      <c r="R75" s="1043">
        <f>('Tariff Rand Values 2025-26'!R71*'MSCOA - Tariff Structure'!$T$2)+'Tariff Rand Values 2025-26'!R71</f>
        <v>2520138.859391741</v>
      </c>
      <c r="S75" s="1043">
        <f>('Tariff Rand Values 2025-26'!S71*'MSCOA - Tariff Structure'!$T$2)+'Tariff Rand Values 2025-26'!S71</f>
        <v>2285583.6934642843</v>
      </c>
      <c r="T75" s="1043">
        <f>('Tariff Rand Values 2025-26'!T71*'MSCOA - Tariff Structure'!$T$2)+'Tariff Rand Values 2025-26'!T71</f>
        <v>3279960.1982896165</v>
      </c>
      <c r="U75" s="1043">
        <f>('Tariff Rand Values 2025-26'!U71*'MSCOA - Tariff Structure'!$T$2)+'Tariff Rand Values 2025-26'!U71</f>
        <v>5560390.75378149</v>
      </c>
      <c r="V75" s="1036">
        <f>SUM(L75:T75)</f>
        <v>26754790.478843763</v>
      </c>
      <c r="W75" s="1036">
        <f>U75+J75+K75</f>
        <v>19964017.12749625</v>
      </c>
    </row>
    <row r="76" spans="1:24" s="364" customFormat="1" x14ac:dyDescent="0.35">
      <c r="A76" s="1038" t="s">
        <v>351</v>
      </c>
      <c r="B76" s="1038" t="s">
        <v>274</v>
      </c>
      <c r="C76" s="1038" t="s">
        <v>879</v>
      </c>
      <c r="D76" s="1038" t="s">
        <v>882</v>
      </c>
      <c r="E76" s="1122" t="s">
        <v>879</v>
      </c>
      <c r="F76" s="1122" t="s">
        <v>882</v>
      </c>
      <c r="G76" s="1122"/>
      <c r="H76" s="1122"/>
      <c r="I76" s="1043">
        <f>SUM(J76:U76)</f>
        <v>37371556.785617389</v>
      </c>
      <c r="J76" s="1043">
        <f>('Tariff Rand Values 2025-26'!J72*'MSCOA - Tariff Structure'!$T$2)+'Tariff Rand Values 2025-26'!J72</f>
        <v>5512455.0224150401</v>
      </c>
      <c r="K76" s="1043">
        <f>('Tariff Rand Values 2025-26'!K72*'MSCOA - Tariff Structure'!$T$2)+'Tariff Rand Values 2025-26'!K72</f>
        <v>5142207.6863183603</v>
      </c>
      <c r="L76" s="1043">
        <f>('Tariff Rand Values 2025-26'!L72*'MSCOA - Tariff Structure'!$T$2)+'Tariff Rand Values 2025-26'!L72</f>
        <v>3283880.12630664</v>
      </c>
      <c r="M76" s="1043">
        <f>('Tariff Rand Values 2025-26'!M72*'MSCOA - Tariff Structure'!$T$2)+'Tariff Rand Values 2025-26'!M72</f>
        <v>2793633.4966960005</v>
      </c>
      <c r="N76" s="1043">
        <f>('Tariff Rand Values 2025-26'!N72*'MSCOA - Tariff Structure'!$T$2)+'Tariff Rand Values 2025-26'!N72</f>
        <v>2591149.66120836</v>
      </c>
      <c r="O76" s="1043">
        <f>('Tariff Rand Values 2025-26'!O72*'MSCOA - Tariff Structure'!$T$2)+'Tariff Rand Values 2025-26'!O72</f>
        <v>2543502.1876952797</v>
      </c>
      <c r="P76" s="1043">
        <f>('Tariff Rand Values 2025-26'!P72*'MSCOA - Tariff Structure'!$T$2)+'Tariff Rand Values 2025-26'!P72</f>
        <v>2501784.9901447198</v>
      </c>
      <c r="Q76" s="1043">
        <f>('Tariff Rand Values 2025-26'!Q72*'MSCOA - Tariff Structure'!$T$2)+'Tariff Rand Values 2025-26'!Q72</f>
        <v>2492987.6509389598</v>
      </c>
      <c r="R76" s="1043">
        <f>('Tariff Rand Values 2025-26'!R72*'MSCOA - Tariff Structure'!$T$2)+'Tariff Rand Values 2025-26'!R72</f>
        <v>1881255.9316818395</v>
      </c>
      <c r="S76" s="1043">
        <f>('Tariff Rand Values 2025-26'!S72*'MSCOA - Tariff Structure'!$T$2)+'Tariff Rand Values 2025-26'!S72</f>
        <v>2065480.1754689261</v>
      </c>
      <c r="T76" s="1043">
        <f>('Tariff Rand Values 2025-26'!T72*'MSCOA - Tariff Structure'!$T$2)+'Tariff Rand Values 2025-26'!T72</f>
        <v>2631539.604691627</v>
      </c>
      <c r="U76" s="1043">
        <f>('Tariff Rand Values 2025-26'!U72*'MSCOA - Tariff Structure'!$T$2)+'Tariff Rand Values 2025-26'!U72</f>
        <v>3931680.2520516394</v>
      </c>
      <c r="V76" s="1036">
        <f>SUM(L76:T76)</f>
        <v>22785213.824832354</v>
      </c>
      <c r="W76" s="1036">
        <f>U76+J76+K76</f>
        <v>14586342.960785039</v>
      </c>
    </row>
    <row r="77" spans="1:24" s="364" customFormat="1" ht="15" thickBot="1" x14ac:dyDescent="0.4">
      <c r="A77" s="359" t="s">
        <v>547</v>
      </c>
      <c r="I77" s="1060">
        <f>SUM(I78:I80)</f>
        <v>8912983.7998077571</v>
      </c>
      <c r="J77" s="1125"/>
      <c r="K77" s="1125"/>
      <c r="L77" s="1125"/>
      <c r="M77" s="1125"/>
      <c r="N77" s="1125"/>
      <c r="O77" s="1125"/>
      <c r="P77" s="1125"/>
      <c r="Q77" s="1125"/>
      <c r="R77" s="1125"/>
      <c r="S77" s="1125"/>
      <c r="T77" s="1125"/>
      <c r="U77" s="1125"/>
      <c r="V77" s="611">
        <f>+V76+V75+V74+V73+V72</f>
        <v>74963494.875221521</v>
      </c>
      <c r="W77" s="611">
        <f>+W76+W75+W74+W73+W72</f>
        <v>50141875.31911318</v>
      </c>
      <c r="X77" s="364">
        <f>+V77+W77</f>
        <v>125105370.1943347</v>
      </c>
    </row>
    <row r="78" spans="1:24" s="364" customFormat="1" ht="15" thickTop="1" x14ac:dyDescent="0.35">
      <c r="A78" s="1038" t="s">
        <v>489</v>
      </c>
      <c r="B78" s="1038" t="s">
        <v>276</v>
      </c>
      <c r="C78" s="1038" t="s">
        <v>488</v>
      </c>
      <c r="D78" s="1038" t="s">
        <v>822</v>
      </c>
      <c r="E78" s="1122" t="s">
        <v>488</v>
      </c>
      <c r="F78" s="1122" t="s">
        <v>822</v>
      </c>
      <c r="G78" s="1122"/>
      <c r="H78" s="1122"/>
      <c r="I78" s="1043">
        <f>SUM(J78:U78)</f>
        <v>2110851.5668244725</v>
      </c>
      <c r="J78" s="1036">
        <f>('Tariff Rand Values 2025-26'!J74*'MSCOA - Tariff Structure'!$T$2)+'Tariff Rand Values 2025-26'!J74</f>
        <v>300565.49105323997</v>
      </c>
      <c r="K78" s="1036">
        <f>('Tariff Rand Values 2025-26'!K74*'MSCOA - Tariff Structure'!$T$2)+'Tariff Rand Values 2025-26'!K74</f>
        <v>230237.25078452</v>
      </c>
      <c r="L78" s="1036">
        <f>('Tariff Rand Values 2025-26'!L74*'MSCOA - Tariff Structure'!$T$2)+'Tariff Rand Values 2025-26'!L74</f>
        <v>118783.78192996001</v>
      </c>
      <c r="M78" s="1036">
        <f>('Tariff Rand Values 2025-26'!M74*'MSCOA - Tariff Structure'!$T$2)+'Tariff Rand Values 2025-26'!M74</f>
        <v>185617.41404192001</v>
      </c>
      <c r="N78" s="1036">
        <f>('Tariff Rand Values 2025-26'!N74*'MSCOA - Tariff Structure'!$T$2)+'Tariff Rand Values 2025-26'!N74</f>
        <v>139953.75672656001</v>
      </c>
      <c r="O78" s="1036">
        <f>('Tariff Rand Values 2025-26'!O74*'MSCOA - Tariff Structure'!$T$2)+'Tariff Rand Values 2025-26'!O74</f>
        <v>113411.02308452001</v>
      </c>
      <c r="P78" s="1036">
        <f>('Tariff Rand Values 2025-26'!P74*'MSCOA - Tariff Structure'!$T$2)+'Tariff Rand Values 2025-26'!P74</f>
        <v>125146.3674342</v>
      </c>
      <c r="Q78" s="1036">
        <f>('Tariff Rand Values 2025-26'!Q74*'MSCOA - Tariff Structure'!$T$2)+'Tariff Rand Values 2025-26'!Q74</f>
        <v>125115.97964460001</v>
      </c>
      <c r="R78" s="1036">
        <f>('Tariff Rand Values 2025-26'!R74*'MSCOA - Tariff Structure'!$T$2)+'Tariff Rand Values 2025-26'!R74</f>
        <v>169029.11909111135</v>
      </c>
      <c r="S78" s="1036">
        <f>('Tariff Rand Values 2025-26'!S74*'MSCOA - Tariff Structure'!$T$2)+'Tariff Rand Values 2025-26'!S74</f>
        <v>155028.54845269345</v>
      </c>
      <c r="T78" s="1036">
        <f>('Tariff Rand Values 2025-26'!T74*'MSCOA - Tariff Structure'!$T$2)+'Tariff Rand Values 2025-26'!T74</f>
        <v>160301.79918622956</v>
      </c>
      <c r="U78" s="1036">
        <f>('Tariff Rand Values 2025-26'!U74*'MSCOA - Tariff Structure'!$T$2)+'Tariff Rand Values 2025-26'!U74</f>
        <v>287661.03539491806</v>
      </c>
      <c r="V78" s="1036">
        <f>SUM(L78:T78)</f>
        <v>1292387.7895917941</v>
      </c>
      <c r="W78" s="1036">
        <f>U78+J78+K78</f>
        <v>818463.77723267814</v>
      </c>
    </row>
    <row r="79" spans="1:24" s="364" customFormat="1" x14ac:dyDescent="0.35">
      <c r="A79" s="1038" t="s">
        <v>487</v>
      </c>
      <c r="B79" s="1038" t="s">
        <v>277</v>
      </c>
      <c r="C79" s="1038" t="s">
        <v>486</v>
      </c>
      <c r="D79" s="1038" t="s">
        <v>821</v>
      </c>
      <c r="E79" s="1122" t="s">
        <v>486</v>
      </c>
      <c r="F79" s="1122" t="s">
        <v>821</v>
      </c>
      <c r="G79" s="1122"/>
      <c r="H79" s="1122"/>
      <c r="I79" s="1043">
        <f>SUM(J79:U79)</f>
        <v>3281104.142829027</v>
      </c>
      <c r="J79" s="1036">
        <f>('Tariff Rand Values 2025-26'!J75*'MSCOA - Tariff Structure'!$T$2)+'Tariff Rand Values 2025-26'!J75</f>
        <v>449571.90618200001</v>
      </c>
      <c r="K79" s="1036">
        <f>('Tariff Rand Values 2025-26'!K75*'MSCOA - Tariff Structure'!$T$2)+'Tariff Rand Values 2025-26'!K75</f>
        <v>348861.54623012</v>
      </c>
      <c r="L79" s="1036">
        <f>('Tariff Rand Values 2025-26'!L75*'MSCOA - Tariff Structure'!$T$2)+'Tariff Rand Values 2025-26'!L75</f>
        <v>203253.80772396</v>
      </c>
      <c r="M79" s="1036">
        <f>('Tariff Rand Values 2025-26'!M75*'MSCOA - Tariff Structure'!$T$2)+'Tariff Rand Values 2025-26'!M75</f>
        <v>276452.81706392003</v>
      </c>
      <c r="N79" s="1036">
        <f>('Tariff Rand Values 2025-26'!N75*'MSCOA - Tariff Structure'!$T$2)+'Tariff Rand Values 2025-26'!N75</f>
        <v>229527.20178695998</v>
      </c>
      <c r="O79" s="1036">
        <f>('Tariff Rand Values 2025-26'!O75*'MSCOA - Tariff Structure'!$T$2)+'Tariff Rand Values 2025-26'!O75</f>
        <v>189589.24637576001</v>
      </c>
      <c r="P79" s="1036">
        <f>('Tariff Rand Values 2025-26'!P75*'MSCOA - Tariff Structure'!$T$2)+'Tariff Rand Values 2025-26'!P75</f>
        <v>201831.23917684</v>
      </c>
      <c r="Q79" s="1036">
        <f>('Tariff Rand Values 2025-26'!Q75*'MSCOA - Tariff Structure'!$T$2)+'Tariff Rand Values 2025-26'!Q75</f>
        <v>201794.18089684</v>
      </c>
      <c r="R79" s="1036">
        <f>('Tariff Rand Values 2025-26'!R75*'MSCOA - Tariff Structure'!$T$2)+'Tariff Rand Values 2025-26'!R75</f>
        <v>280447.1413692229</v>
      </c>
      <c r="S79" s="1036">
        <f>('Tariff Rand Values 2025-26'!S75*'MSCOA - Tariff Structure'!$T$2)+'Tariff Rand Values 2025-26'!S75</f>
        <v>258042.82029416121</v>
      </c>
      <c r="T79" s="1036">
        <f>('Tariff Rand Values 2025-26'!T75*'MSCOA - Tariff Structure'!$T$2)+'Tariff Rand Values 2025-26'!T75</f>
        <v>254168.85201798246</v>
      </c>
      <c r="U79" s="1036">
        <f>('Tariff Rand Values 2025-26'!U75*'MSCOA - Tariff Structure'!$T$2)+'Tariff Rand Values 2025-26'!U75</f>
        <v>387563.38371126039</v>
      </c>
      <c r="V79" s="1036">
        <f>SUM(L79:T79)</f>
        <v>2095107.3067056467</v>
      </c>
      <c r="W79" s="1036">
        <f>U79+J79+K79</f>
        <v>1185996.8361233803</v>
      </c>
    </row>
    <row r="80" spans="1:24" s="364" customFormat="1" x14ac:dyDescent="0.35">
      <c r="A80" s="1038" t="s">
        <v>480</v>
      </c>
      <c r="B80" s="1038" t="s">
        <v>278</v>
      </c>
      <c r="C80" s="1038" t="s">
        <v>482</v>
      </c>
      <c r="D80" s="1038" t="s">
        <v>823</v>
      </c>
      <c r="E80" s="1122" t="s">
        <v>482</v>
      </c>
      <c r="F80" s="1122" t="s">
        <v>823</v>
      </c>
      <c r="G80" s="1122"/>
      <c r="H80" s="1122"/>
      <c r="I80" s="1043">
        <f>SUM(J80:U80)</f>
        <v>3521028.0901542585</v>
      </c>
      <c r="J80" s="1036">
        <f>('Tariff Rand Values 2025-26'!J76*'MSCOA - Tariff Structure'!$T$2)+'Tariff Rand Values 2025-26'!J76</f>
        <v>446189.00403392001</v>
      </c>
      <c r="K80" s="1036">
        <f>('Tariff Rand Values 2025-26'!K76*'MSCOA - Tariff Structure'!$T$2)+'Tariff Rand Values 2025-26'!K76</f>
        <v>365588.50501543999</v>
      </c>
      <c r="L80" s="1036">
        <f>('Tariff Rand Values 2025-26'!L76*'MSCOA - Tariff Structure'!$T$2)+'Tariff Rand Values 2025-26'!L76</f>
        <v>243466.62439792004</v>
      </c>
      <c r="M80" s="1036">
        <f>('Tariff Rand Values 2025-26'!M76*'MSCOA - Tariff Structure'!$T$2)+'Tariff Rand Values 2025-26'!M76</f>
        <v>258530.30875476002</v>
      </c>
      <c r="N80" s="1036">
        <f>('Tariff Rand Values 2025-26'!N76*'MSCOA - Tariff Structure'!$T$2)+'Tariff Rand Values 2025-26'!N76</f>
        <v>248190.62864092004</v>
      </c>
      <c r="O80" s="1036">
        <f>('Tariff Rand Values 2025-26'!O76*'MSCOA - Tariff Structure'!$T$2)+'Tariff Rand Values 2025-26'!O76</f>
        <v>260013.71464488003</v>
      </c>
      <c r="P80" s="1036">
        <f>('Tariff Rand Values 2025-26'!P76*'MSCOA - Tariff Structure'!$T$2)+'Tariff Rand Values 2025-26'!P76</f>
        <v>216805.31661264002</v>
      </c>
      <c r="Q80" s="1036">
        <f>('Tariff Rand Values 2025-26'!Q76*'MSCOA - Tariff Structure'!$T$2)+'Tariff Rand Values 2025-26'!Q76</f>
        <v>216765.82483892</v>
      </c>
      <c r="R80" s="1036">
        <f>('Tariff Rand Values 2025-26'!R76*'MSCOA - Tariff Structure'!$T$2)+'Tariff Rand Values 2025-26'!R76</f>
        <v>306887.44324584742</v>
      </c>
      <c r="S80" s="1036">
        <f>('Tariff Rand Values 2025-26'!S76*'MSCOA - Tariff Structure'!$T$2)+'Tariff Rand Values 2025-26'!S76</f>
        <v>278841.20830269618</v>
      </c>
      <c r="T80" s="1036">
        <f>('Tariff Rand Values 2025-26'!T76*'MSCOA - Tariff Structure'!$T$2)+'Tariff Rand Values 2025-26'!T76</f>
        <v>249163.23295381735</v>
      </c>
      <c r="U80" s="1036">
        <f>('Tariff Rand Values 2025-26'!U76*'MSCOA - Tariff Structure'!$T$2)+'Tariff Rand Values 2025-26'!U76</f>
        <v>430586.27871249797</v>
      </c>
      <c r="V80" s="1036">
        <f>SUM(L80:T80)</f>
        <v>2278664.3023924013</v>
      </c>
      <c r="W80" s="1036">
        <f>U80+J80+K80</f>
        <v>1242363.787761858</v>
      </c>
    </row>
    <row r="81" spans="1:24" s="364" customFormat="1" ht="15" thickBot="1" x14ac:dyDescent="0.4">
      <c r="A81" s="359" t="s">
        <v>1478</v>
      </c>
      <c r="I81" s="1060">
        <f>SUM(I82:I84)</f>
        <v>2485549.5735808411</v>
      </c>
      <c r="J81" s="1125"/>
      <c r="K81" s="1125"/>
      <c r="L81" s="1125"/>
      <c r="M81" s="1125"/>
      <c r="N81" s="1125"/>
      <c r="O81" s="1125"/>
      <c r="P81" s="1125"/>
      <c r="Q81" s="1125"/>
      <c r="R81" s="1125"/>
      <c r="S81" s="1125"/>
      <c r="T81" s="1125"/>
      <c r="U81" s="1125"/>
      <c r="V81" s="611">
        <f>+V80+V79+V78</f>
        <v>5666159.3986898419</v>
      </c>
      <c r="W81" s="611">
        <f>+W80+W79+W78</f>
        <v>3246824.4011179167</v>
      </c>
      <c r="X81" s="364">
        <f>+W81+V81</f>
        <v>8912983.799807759</v>
      </c>
    </row>
    <row r="82" spans="1:24" s="364" customFormat="1" ht="15" thickTop="1" x14ac:dyDescent="0.35">
      <c r="A82" s="1038" t="s">
        <v>507</v>
      </c>
      <c r="B82" s="1038" t="s">
        <v>443</v>
      </c>
      <c r="C82" s="1038" t="s">
        <v>506</v>
      </c>
      <c r="D82" s="1038" t="s">
        <v>1053</v>
      </c>
      <c r="E82" s="1122" t="s">
        <v>506</v>
      </c>
      <c r="F82" s="1122" t="s">
        <v>1053</v>
      </c>
      <c r="G82" s="1122"/>
      <c r="H82" s="1122"/>
      <c r="I82" s="1043">
        <f>SUM(J82:U82)</f>
        <v>725070.38740445906</v>
      </c>
      <c r="J82" s="1036">
        <f>('Tariff Rand Values 2025-26'!J78*'MSCOA - Tariff Structure'!$T$2)+'Tariff Rand Values 2025-26'!J78</f>
        <v>129953.97515688</v>
      </c>
      <c r="K82" s="1036">
        <f>('Tariff Rand Values 2025-26'!K78*'MSCOA - Tariff Structure'!$T$2)+'Tariff Rand Values 2025-26'!K78</f>
        <v>99086.960232680009</v>
      </c>
      <c r="L82" s="1036">
        <f>('Tariff Rand Values 2025-26'!L78*'MSCOA - Tariff Structure'!$T$2)+'Tariff Rand Values 2025-26'!L78</f>
        <v>39713.542820280003</v>
      </c>
      <c r="M82" s="1036">
        <f>('Tariff Rand Values 2025-26'!M78*'MSCOA - Tariff Structure'!$T$2)+'Tariff Rand Values 2025-26'!M78</f>
        <v>39020.639453600001</v>
      </c>
      <c r="N82" s="1036">
        <f>('Tariff Rand Values 2025-26'!N78*'MSCOA - Tariff Structure'!$T$2)+'Tariff Rand Values 2025-26'!N78</f>
        <v>32635.633689959999</v>
      </c>
      <c r="O82" s="1036">
        <f>('Tariff Rand Values 2025-26'!O78*'MSCOA - Tariff Structure'!$T$2)+'Tariff Rand Values 2025-26'!O78</f>
        <v>34417.865197239997</v>
      </c>
      <c r="P82" s="1036">
        <f>('Tariff Rand Values 2025-26'!P78*'MSCOA - Tariff Structure'!$T$2)+'Tariff Rand Values 2025-26'!P78</f>
        <v>39480.965055000001</v>
      </c>
      <c r="Q82" s="1036">
        <f>('Tariff Rand Values 2025-26'!Q78*'MSCOA - Tariff Structure'!$T$2)+'Tariff Rand Values 2025-26'!Q78</f>
        <v>38480.23090912</v>
      </c>
      <c r="R82" s="1036">
        <f>('Tariff Rand Values 2025-26'!R78*'MSCOA - Tariff Structure'!$T$2)+'Tariff Rand Values 2025-26'!R78</f>
        <v>45781.775029674609</v>
      </c>
      <c r="S82" s="1036">
        <f>('Tariff Rand Values 2025-26'!S78*'MSCOA - Tariff Structure'!$T$2)+'Tariff Rand Values 2025-26'!S78</f>
        <v>43776.100308943503</v>
      </c>
      <c r="T82" s="1036">
        <f>('Tariff Rand Values 2025-26'!T78*'MSCOA - Tariff Structure'!$T$2)+'Tariff Rand Values 2025-26'!T78</f>
        <v>57957.982937399443</v>
      </c>
      <c r="U82" s="1036">
        <f>('Tariff Rand Values 2025-26'!U78*'MSCOA - Tariff Structure'!$T$2)+'Tariff Rand Values 2025-26'!U78</f>
        <v>124764.71661368152</v>
      </c>
      <c r="V82" s="1036">
        <f>SUM(L82:T82)</f>
        <v>371264.73540121759</v>
      </c>
      <c r="W82" s="1036">
        <f>U82+J82+K82</f>
        <v>353805.65200324153</v>
      </c>
    </row>
    <row r="83" spans="1:24" s="364" customFormat="1" x14ac:dyDescent="0.35">
      <c r="A83" s="1038" t="s">
        <v>505</v>
      </c>
      <c r="B83" s="1038" t="s">
        <v>445</v>
      </c>
      <c r="C83" s="1038" t="s">
        <v>504</v>
      </c>
      <c r="D83" s="1038" t="s">
        <v>1052</v>
      </c>
      <c r="E83" s="1122" t="s">
        <v>504</v>
      </c>
      <c r="F83" s="1122" t="s">
        <v>1052</v>
      </c>
      <c r="G83" s="1122"/>
      <c r="H83" s="1122"/>
      <c r="I83" s="1043">
        <f>SUM(J83:U83)</f>
        <v>979999.72990039107</v>
      </c>
      <c r="J83" s="1036">
        <f>('Tariff Rand Values 2025-26'!J79*'MSCOA - Tariff Structure'!$T$2)+'Tariff Rand Values 2025-26'!J79</f>
        <v>153425.56560772</v>
      </c>
      <c r="K83" s="1036">
        <f>('Tariff Rand Values 2025-26'!K79*'MSCOA - Tariff Structure'!$T$2)+'Tariff Rand Values 2025-26'!K79</f>
        <v>117722.67984596001</v>
      </c>
      <c r="L83" s="1036">
        <f>('Tariff Rand Values 2025-26'!L79*'MSCOA - Tariff Structure'!$T$2)+'Tariff Rand Values 2025-26'!L79</f>
        <v>55541.455380040003</v>
      </c>
      <c r="M83" s="1036">
        <f>('Tariff Rand Values 2025-26'!M79*'MSCOA - Tariff Structure'!$T$2)+'Tariff Rand Values 2025-26'!M79</f>
        <v>53457.075363160009</v>
      </c>
      <c r="N83" s="1036">
        <f>('Tariff Rand Values 2025-26'!N79*'MSCOA - Tariff Structure'!$T$2)+'Tariff Rand Values 2025-26'!N79</f>
        <v>49953.326163999998</v>
      </c>
      <c r="O83" s="1036">
        <f>('Tariff Rand Values 2025-26'!O79*'MSCOA - Tariff Structure'!$T$2)+'Tariff Rand Values 2025-26'!O79</f>
        <v>56078.1951548</v>
      </c>
      <c r="P83" s="1036">
        <f>('Tariff Rand Values 2025-26'!P79*'MSCOA - Tariff Structure'!$T$2)+'Tariff Rand Values 2025-26'!P79</f>
        <v>63726.715327799997</v>
      </c>
      <c r="Q83" s="1036">
        <f>('Tariff Rand Values 2025-26'!Q79*'MSCOA - Tariff Structure'!$T$2)+'Tariff Rand Values 2025-26'!Q79</f>
        <v>62212.032249359989</v>
      </c>
      <c r="R83" s="1036">
        <f>('Tariff Rand Values 2025-26'!R79*'MSCOA - Tariff Structure'!$T$2)+'Tariff Rand Values 2025-26'!R79</f>
        <v>76840.150963479275</v>
      </c>
      <c r="S83" s="1036">
        <f>('Tariff Rand Values 2025-26'!S79*'MSCOA - Tariff Structure'!$T$2)+'Tariff Rand Values 2025-26'!S79</f>
        <v>65837.982220430669</v>
      </c>
      <c r="T83" s="1036">
        <f>('Tariff Rand Values 2025-26'!T79*'MSCOA - Tariff Structure'!$T$2)+'Tariff Rand Values 2025-26'!T79</f>
        <v>78034.826164005965</v>
      </c>
      <c r="U83" s="1036">
        <f>('Tariff Rand Values 2025-26'!U79*'MSCOA - Tariff Structure'!$T$2)+'Tariff Rand Values 2025-26'!U79</f>
        <v>147169.72545963529</v>
      </c>
      <c r="V83" s="1036">
        <f>SUM(L83:T83)</f>
        <v>561681.75898707588</v>
      </c>
      <c r="W83" s="1036">
        <f>U83+J83+K83</f>
        <v>418317.97091331531</v>
      </c>
    </row>
    <row r="84" spans="1:24" s="364" customFormat="1" x14ac:dyDescent="0.35">
      <c r="A84" s="1038" t="s">
        <v>509</v>
      </c>
      <c r="B84" s="1038" t="s">
        <v>441</v>
      </c>
      <c r="C84" s="1038" t="s">
        <v>508</v>
      </c>
      <c r="D84" s="1038" t="s">
        <v>1054</v>
      </c>
      <c r="E84" s="1122" t="s">
        <v>508</v>
      </c>
      <c r="F84" s="1122" t="s">
        <v>1054</v>
      </c>
      <c r="G84" s="1122"/>
      <c r="H84" s="1122"/>
      <c r="I84" s="1043">
        <f>SUM(J84:U84)</f>
        <v>780479.45627599093</v>
      </c>
      <c r="J84" s="1036">
        <f>('Tariff Rand Values 2025-26'!J80*'MSCOA - Tariff Structure'!$T$2)+'Tariff Rand Values 2025-26'!J80</f>
        <v>109388.53208192</v>
      </c>
      <c r="K84" s="1036">
        <f>('Tariff Rand Values 2025-26'!K80*'MSCOA - Tariff Structure'!$T$2)+'Tariff Rand Values 2025-26'!K80</f>
        <v>98829.899297080003</v>
      </c>
      <c r="L84" s="1036">
        <f>('Tariff Rand Values 2025-26'!L80*'MSCOA - Tariff Structure'!$T$2)+'Tariff Rand Values 2025-26'!L80</f>
        <v>50600.129030360004</v>
      </c>
      <c r="M84" s="1036">
        <f>('Tariff Rand Values 2025-26'!M80*'MSCOA - Tariff Structure'!$T$2)+'Tariff Rand Values 2025-26'!M80</f>
        <v>42695.919078119994</v>
      </c>
      <c r="N84" s="1036">
        <f>('Tariff Rand Values 2025-26'!N80*'MSCOA - Tariff Structure'!$T$2)+'Tariff Rand Values 2025-26'!N80</f>
        <v>41349.41882708</v>
      </c>
      <c r="O84" s="1036">
        <f>('Tariff Rand Values 2025-26'!O80*'MSCOA - Tariff Structure'!$T$2)+'Tariff Rand Values 2025-26'!O80</f>
        <v>58338.700823759995</v>
      </c>
      <c r="P84" s="1036">
        <f>('Tariff Rand Values 2025-26'!P80*'MSCOA - Tariff Structure'!$T$2)+'Tariff Rand Values 2025-26'!P80</f>
        <v>56375.291385560005</v>
      </c>
      <c r="Q84" s="1036">
        <f>('Tariff Rand Values 2025-26'!Q80*'MSCOA - Tariff Structure'!$T$2)+'Tariff Rand Values 2025-26'!Q80</f>
        <v>51157.189095320013</v>
      </c>
      <c r="R84" s="1036">
        <f>('Tariff Rand Values 2025-26'!R80*'MSCOA - Tariff Structure'!$T$2)+'Tariff Rand Values 2025-26'!R80</f>
        <v>55990.534498389279</v>
      </c>
      <c r="S84" s="1036">
        <f>('Tariff Rand Values 2025-26'!S80*'MSCOA - Tariff Structure'!$T$2)+'Tariff Rand Values 2025-26'!S80</f>
        <v>54795.363556858538</v>
      </c>
      <c r="T84" s="1036">
        <f>('Tariff Rand Values 2025-26'!T80*'MSCOA - Tariff Structure'!$T$2)+'Tariff Rand Values 2025-26'!T80</f>
        <v>52278.156602713578</v>
      </c>
      <c r="U84" s="1036">
        <f>('Tariff Rand Values 2025-26'!U80*'MSCOA - Tariff Structure'!$T$2)+'Tariff Rand Values 2025-26'!U80</f>
        <v>108680.32199882944</v>
      </c>
      <c r="V84" s="1036">
        <f>SUM(L84:T84)</f>
        <v>463580.70289816143</v>
      </c>
      <c r="W84" s="1036">
        <f>U84+J84+K84</f>
        <v>316898.75337782945</v>
      </c>
    </row>
    <row r="85" spans="1:24" s="364" customFormat="1" ht="15" thickBot="1" x14ac:dyDescent="0.4">
      <c r="A85" s="359" t="s">
        <v>1479</v>
      </c>
      <c r="B85" s="248"/>
      <c r="C85" s="248"/>
      <c r="D85" s="248"/>
      <c r="I85" s="1060">
        <f>I86</f>
        <v>0</v>
      </c>
      <c r="J85" s="611"/>
      <c r="K85" s="611"/>
      <c r="L85" s="611"/>
      <c r="M85" s="611"/>
      <c r="N85" s="611"/>
      <c r="O85" s="611"/>
      <c r="P85" s="611"/>
      <c r="Q85" s="611"/>
      <c r="R85" s="611"/>
      <c r="S85" s="611"/>
      <c r="T85" s="611"/>
      <c r="U85" s="611"/>
      <c r="V85" s="611">
        <f>+V84+V83+V82</f>
        <v>1396527.197286455</v>
      </c>
      <c r="W85" s="611">
        <f>+W84+W83+W82</f>
        <v>1089022.3762943863</v>
      </c>
      <c r="X85" s="364">
        <f>+W85+V85</f>
        <v>2485549.5735808415</v>
      </c>
    </row>
    <row r="86" spans="1:24" s="364" customFormat="1" ht="15" thickTop="1" x14ac:dyDescent="0.35">
      <c r="A86" s="1038" t="s">
        <v>1488</v>
      </c>
      <c r="B86" s="1038" t="s">
        <v>1488</v>
      </c>
      <c r="C86" s="1038" t="s">
        <v>1481</v>
      </c>
      <c r="D86" s="1038" t="s">
        <v>1481</v>
      </c>
      <c r="E86" s="1122"/>
      <c r="F86" s="1122"/>
      <c r="G86" s="1122"/>
      <c r="H86" s="1122"/>
      <c r="I86" s="1043">
        <f>SUM(J86:U86)</f>
        <v>0</v>
      </c>
      <c r="J86" s="1036">
        <v>0</v>
      </c>
      <c r="K86" s="1036">
        <v>0</v>
      </c>
      <c r="L86" s="1036">
        <v>0</v>
      </c>
      <c r="M86" s="1036">
        <v>0</v>
      </c>
      <c r="N86" s="1036">
        <v>0</v>
      </c>
      <c r="O86" s="1036">
        <v>0</v>
      </c>
      <c r="P86" s="1036">
        <v>0</v>
      </c>
      <c r="Q86" s="1036">
        <v>0</v>
      </c>
      <c r="R86" s="1036">
        <v>0</v>
      </c>
      <c r="S86" s="1036">
        <v>0</v>
      </c>
      <c r="T86" s="1036">
        <v>0</v>
      </c>
      <c r="U86" s="1036">
        <v>0</v>
      </c>
      <c r="V86" s="1036">
        <f>SUM(L86:T86)</f>
        <v>0</v>
      </c>
      <c r="W86" s="1036">
        <f>U86+J86+K86</f>
        <v>0</v>
      </c>
    </row>
    <row r="87" spans="1:24" s="364" customFormat="1" x14ac:dyDescent="0.35">
      <c r="A87" s="1038" t="s">
        <v>485</v>
      </c>
      <c r="B87" s="1038" t="s">
        <v>485</v>
      </c>
      <c r="C87" s="1038"/>
      <c r="D87" s="1038"/>
      <c r="E87" s="1038"/>
      <c r="F87" s="1038"/>
      <c r="G87" s="1038"/>
      <c r="H87" s="1038"/>
      <c r="I87" s="1036">
        <f>SUM(J87:U87)</f>
        <v>0</v>
      </c>
      <c r="J87" s="1036">
        <v>0</v>
      </c>
      <c r="K87" s="1036">
        <v>0</v>
      </c>
      <c r="L87" s="1036">
        <v>0</v>
      </c>
      <c r="M87" s="1036">
        <v>0</v>
      </c>
      <c r="N87" s="1036">
        <v>0</v>
      </c>
      <c r="O87" s="1036">
        <v>0</v>
      </c>
      <c r="P87" s="1036">
        <v>0</v>
      </c>
      <c r="Q87" s="1036">
        <v>0</v>
      </c>
      <c r="R87" s="1036">
        <v>0</v>
      </c>
      <c r="S87" s="1036">
        <v>0</v>
      </c>
      <c r="T87" s="1036">
        <v>0</v>
      </c>
      <c r="U87" s="1036">
        <v>0</v>
      </c>
      <c r="V87" s="1036">
        <f>SUM(L87:T87)</f>
        <v>0</v>
      </c>
      <c r="W87" s="1036">
        <f>U87+J87+K87</f>
        <v>0</v>
      </c>
      <c r="X87" s="364">
        <f>+V87+W87</f>
        <v>0</v>
      </c>
    </row>
    <row r="88" spans="1:24" s="364" customFormat="1" ht="15" thickBot="1" x14ac:dyDescent="0.4">
      <c r="A88" s="359"/>
      <c r="B88" s="248"/>
      <c r="C88" s="248"/>
      <c r="D88" s="248"/>
      <c r="I88" s="1060"/>
      <c r="J88" s="611"/>
      <c r="K88" s="611"/>
      <c r="L88" s="611"/>
      <c r="M88" s="611"/>
      <c r="N88" s="611"/>
      <c r="O88" s="611"/>
      <c r="P88" s="611"/>
      <c r="Q88" s="611"/>
      <c r="R88" s="611"/>
      <c r="S88" s="611"/>
      <c r="T88" s="611"/>
      <c r="U88" s="611"/>
      <c r="V88" s="611"/>
      <c r="W88" s="611"/>
    </row>
    <row r="89" spans="1:24" s="364" customFormat="1" ht="15" thickTop="1" x14ac:dyDescent="0.35">
      <c r="A89" s="1038" t="s">
        <v>1931</v>
      </c>
      <c r="B89" s="1038" t="s">
        <v>485</v>
      </c>
      <c r="C89" s="248"/>
      <c r="D89" s="248"/>
      <c r="I89" s="1036">
        <f>SUM(J89:U89)</f>
        <v>163007355.06509972</v>
      </c>
      <c r="J89" s="1036">
        <f>('Tariff Rand Values 2025-26'!J85*'MSCOA - Tariff Structure'!$T$2)+'Tariff Rand Values 2025-26'!J85</f>
        <v>13583946.255424976</v>
      </c>
      <c r="K89" s="1036">
        <f>('Tariff Rand Values 2025-26'!K85*'MSCOA - Tariff Structure'!$T$2)+'Tariff Rand Values 2025-26'!K85</f>
        <v>13583946.255424976</v>
      </c>
      <c r="L89" s="1036">
        <f>('Tariff Rand Values 2025-26'!L85*'MSCOA - Tariff Structure'!$T$2)+'Tariff Rand Values 2025-26'!L85</f>
        <v>13583946.255424976</v>
      </c>
      <c r="M89" s="1036">
        <f>('Tariff Rand Values 2025-26'!M85*'MSCOA - Tariff Structure'!$T$2)+'Tariff Rand Values 2025-26'!M85</f>
        <v>13583946.255424976</v>
      </c>
      <c r="N89" s="1036">
        <f>('Tariff Rand Values 2025-26'!N85*'MSCOA - Tariff Structure'!$T$2)+'Tariff Rand Values 2025-26'!N85</f>
        <v>13583946.255424976</v>
      </c>
      <c r="O89" s="1036">
        <f>('Tariff Rand Values 2025-26'!O85*'MSCOA - Tariff Structure'!$T$2)+'Tariff Rand Values 2025-26'!O85</f>
        <v>13583946.255424976</v>
      </c>
      <c r="P89" s="1036">
        <f>('Tariff Rand Values 2025-26'!P85*'MSCOA - Tariff Structure'!$T$2)+'Tariff Rand Values 2025-26'!P85</f>
        <v>13583946.255424976</v>
      </c>
      <c r="Q89" s="1036">
        <f>('Tariff Rand Values 2025-26'!Q85*'MSCOA - Tariff Structure'!$T$2)+'Tariff Rand Values 2025-26'!Q85</f>
        <v>13583946.255424976</v>
      </c>
      <c r="R89" s="1036">
        <f>('Tariff Rand Values 2025-26'!R85*'MSCOA - Tariff Structure'!$T$2)+'Tariff Rand Values 2025-26'!R85</f>
        <v>13583946.255424976</v>
      </c>
      <c r="S89" s="1036">
        <f>('Tariff Rand Values 2025-26'!S85*'MSCOA - Tariff Structure'!$T$2)+'Tariff Rand Values 2025-26'!S85</f>
        <v>13583946.255424976</v>
      </c>
      <c r="T89" s="1036">
        <f>('Tariff Rand Values 2025-26'!T85*'MSCOA - Tariff Structure'!$T$2)+'Tariff Rand Values 2025-26'!T85</f>
        <v>13583946.255424976</v>
      </c>
      <c r="U89" s="1036">
        <f>('Tariff Rand Values 2025-26'!U85*'MSCOA - Tariff Structure'!$T$2)+'Tariff Rand Values 2025-26'!U85</f>
        <v>13583946.255424976</v>
      </c>
      <c r="V89" s="1036">
        <f>SUM(L89:T89)</f>
        <v>122255516.29882479</v>
      </c>
      <c r="W89" s="1036">
        <f>U89+J89+K89</f>
        <v>40751838.766274929</v>
      </c>
    </row>
    <row r="90" spans="1:24" x14ac:dyDescent="0.35">
      <c r="A90" s="577"/>
      <c r="B90" s="867"/>
      <c r="C90" s="867"/>
      <c r="D90" s="867"/>
      <c r="E90" s="867"/>
      <c r="F90" s="867"/>
      <c r="G90" s="867"/>
      <c r="H90" s="867"/>
      <c r="I90" s="867"/>
      <c r="J90" s="867"/>
      <c r="K90" s="867"/>
      <c r="L90" s="867"/>
      <c r="M90" s="867"/>
      <c r="N90" s="867"/>
      <c r="O90" s="867"/>
      <c r="P90" s="867"/>
      <c r="Q90" s="867"/>
      <c r="R90" s="867"/>
      <c r="S90" s="867"/>
      <c r="T90" s="867"/>
      <c r="U90" s="867"/>
      <c r="V90" s="875"/>
      <c r="W90" s="875"/>
    </row>
    <row r="91" spans="1:24" ht="15.5" x14ac:dyDescent="0.35">
      <c r="A91" s="867"/>
      <c r="B91" s="867"/>
      <c r="C91" s="603"/>
      <c r="D91" s="603"/>
      <c r="E91" s="603"/>
      <c r="F91" s="603"/>
      <c r="G91" s="603"/>
      <c r="H91" s="603"/>
      <c r="I91" s="1049" t="s">
        <v>1924</v>
      </c>
      <c r="J91" s="867"/>
      <c r="K91" s="867"/>
      <c r="L91" s="867"/>
      <c r="M91" s="867"/>
      <c r="N91" s="867"/>
      <c r="O91" s="867"/>
      <c r="P91" s="867"/>
      <c r="Q91" s="867"/>
      <c r="R91" s="867"/>
      <c r="S91" s="867"/>
      <c r="T91" s="867"/>
      <c r="U91" s="867"/>
      <c r="V91" s="875"/>
      <c r="W91" s="875"/>
    </row>
    <row r="92" spans="1:24" ht="15" thickBot="1" x14ac:dyDescent="0.4">
      <c r="A92" s="330"/>
      <c r="B92" s="330"/>
      <c r="I92" s="1045" t="s">
        <v>295</v>
      </c>
      <c r="J92" s="852">
        <f t="shared" ref="J92:T92" si="10">SUM(J93:J96)</f>
        <v>564251080.86248708</v>
      </c>
      <c r="K92" s="852">
        <f t="shared" si="10"/>
        <v>521812115.4517687</v>
      </c>
      <c r="L92" s="852">
        <f t="shared" si="10"/>
        <v>409384204.18079931</v>
      </c>
      <c r="M92" s="852">
        <f t="shared" si="10"/>
        <v>411265858.77235425</v>
      </c>
      <c r="N92" s="852">
        <f t="shared" si="10"/>
        <v>404281072.95555514</v>
      </c>
      <c r="O92" s="852">
        <f t="shared" si="10"/>
        <v>403004145.90684503</v>
      </c>
      <c r="P92" s="852">
        <f t="shared" si="10"/>
        <v>403341344.76322919</v>
      </c>
      <c r="Q92" s="852">
        <f t="shared" si="10"/>
        <v>331967874.50419766</v>
      </c>
      <c r="R92" s="852">
        <f t="shared" si="10"/>
        <v>259654688.49492174</v>
      </c>
      <c r="S92" s="852">
        <f t="shared" si="10"/>
        <v>255095342.16932577</v>
      </c>
      <c r="T92" s="852">
        <f t="shared" si="10"/>
        <v>332387811.63726825</v>
      </c>
      <c r="U92" s="852">
        <f>SUM(U93:U96)</f>
        <v>448839619.89378005</v>
      </c>
      <c r="V92" s="853">
        <f>SUM(J92:U92)</f>
        <v>4745285159.5925322</v>
      </c>
      <c r="W92" s="877"/>
    </row>
    <row r="93" spans="1:24" ht="15" thickTop="1" x14ac:dyDescent="0.35">
      <c r="A93" s="330"/>
      <c r="B93" s="330"/>
      <c r="I93" s="1046" t="s">
        <v>542</v>
      </c>
      <c r="J93" s="845">
        <f>+J4+J5+J12+J13+J30+J11+J29</f>
        <v>241097337.30543664</v>
      </c>
      <c r="K93" s="845">
        <f t="shared" ref="K93:U93" si="11">+K4+K5+K12+K13+K30+K11+K29</f>
        <v>226205588.99716589</v>
      </c>
      <c r="L93" s="845">
        <f t="shared" si="11"/>
        <v>207398537.54647678</v>
      </c>
      <c r="M93" s="845">
        <f t="shared" si="11"/>
        <v>208181388.80042517</v>
      </c>
      <c r="N93" s="845">
        <f t="shared" si="11"/>
        <v>207467104.27778149</v>
      </c>
      <c r="O93" s="845">
        <f t="shared" si="11"/>
        <v>210013823.65570292</v>
      </c>
      <c r="P93" s="845">
        <f t="shared" si="11"/>
        <v>198713110.92976815</v>
      </c>
      <c r="Q93" s="845">
        <f t="shared" si="11"/>
        <v>128788628.53193641</v>
      </c>
      <c r="R93" s="845">
        <f t="shared" si="11"/>
        <v>104473527.85550368</v>
      </c>
      <c r="S93" s="845">
        <f t="shared" si="11"/>
        <v>105284756.99283454</v>
      </c>
      <c r="T93" s="845">
        <f t="shared" si="11"/>
        <v>173583181.35781398</v>
      </c>
      <c r="U93" s="845">
        <f t="shared" si="11"/>
        <v>213757688.35222811</v>
      </c>
      <c r="V93" s="855">
        <f>SUM(J93:U93)</f>
        <v>2224964674.6030736</v>
      </c>
      <c r="W93" s="878"/>
    </row>
    <row r="94" spans="1:24" x14ac:dyDescent="0.35">
      <c r="A94" s="330"/>
      <c r="B94" s="330"/>
      <c r="I94" s="1046" t="s">
        <v>297</v>
      </c>
      <c r="J94" s="845">
        <f>SUM(J32:J86,J15:J27,J8:J9,J89)</f>
        <v>316540722.32059556</v>
      </c>
      <c r="K94" s="845">
        <f t="shared" ref="K94:U94" si="12">SUM(K32:K86,K15:K27,K8:K9,K89)</f>
        <v>288993505.21814799</v>
      </c>
      <c r="L94" s="845">
        <f t="shared" si="12"/>
        <v>196779639.15857509</v>
      </c>
      <c r="M94" s="845">
        <f t="shared" si="12"/>
        <v>197878442.49618167</v>
      </c>
      <c r="N94" s="845">
        <f t="shared" si="12"/>
        <v>191607941.20202628</v>
      </c>
      <c r="O94" s="845">
        <f t="shared" si="12"/>
        <v>187784294.77539474</v>
      </c>
      <c r="P94" s="845">
        <f t="shared" si="12"/>
        <v>199422206.35771361</v>
      </c>
      <c r="Q94" s="845">
        <f t="shared" si="12"/>
        <v>197973218.49651387</v>
      </c>
      <c r="R94" s="845">
        <f t="shared" si="12"/>
        <v>149975133.16367066</v>
      </c>
      <c r="S94" s="845">
        <f t="shared" si="12"/>
        <v>144604557.70074379</v>
      </c>
      <c r="T94" s="845">
        <f t="shared" si="12"/>
        <v>153598602.80370682</v>
      </c>
      <c r="U94" s="845">
        <f t="shared" si="12"/>
        <v>228468910.30509713</v>
      </c>
      <c r="V94" s="855">
        <f>SUM(J94:U94)</f>
        <v>2453627173.9983668</v>
      </c>
      <c r="W94" s="878"/>
    </row>
    <row r="95" spans="1:24" x14ac:dyDescent="0.35">
      <c r="A95" s="330"/>
      <c r="B95" s="330"/>
      <c r="I95" s="1046" t="s">
        <v>298</v>
      </c>
      <c r="J95" s="845">
        <f>+J3+J7</f>
        <v>6613021.2364548072</v>
      </c>
      <c r="K95" s="719">
        <f t="shared" ref="K95:T95" si="13">+K3+K7</f>
        <v>6613021.2364548072</v>
      </c>
      <c r="L95" s="719">
        <f t="shared" si="13"/>
        <v>5206027.4757474214</v>
      </c>
      <c r="M95" s="719">
        <f t="shared" si="13"/>
        <v>5206027.4757474214</v>
      </c>
      <c r="N95" s="719">
        <f t="shared" si="13"/>
        <v>5206027.4757474214</v>
      </c>
      <c r="O95" s="719">
        <f t="shared" si="13"/>
        <v>5206027.4757474214</v>
      </c>
      <c r="P95" s="719">
        <f t="shared" si="13"/>
        <v>5206027.4757474214</v>
      </c>
      <c r="Q95" s="719">
        <f t="shared" si="13"/>
        <v>5206027.4757474214</v>
      </c>
      <c r="R95" s="719">
        <f t="shared" si="13"/>
        <v>5206027.4757474214</v>
      </c>
      <c r="S95" s="719">
        <f t="shared" si="13"/>
        <v>5206027.4757474214</v>
      </c>
      <c r="T95" s="719">
        <f t="shared" si="13"/>
        <v>5206027.4757474214</v>
      </c>
      <c r="U95" s="846">
        <f>+U3+U7</f>
        <v>6613021.2364548072</v>
      </c>
      <c r="V95" s="855">
        <f>SUM(J95:U95)</f>
        <v>66693310.991091214</v>
      </c>
      <c r="W95" s="878"/>
    </row>
    <row r="96" spans="1:24" x14ac:dyDescent="0.35">
      <c r="A96" s="330"/>
      <c r="B96" s="330"/>
      <c r="I96" s="1047" t="s">
        <v>543</v>
      </c>
      <c r="J96" s="847">
        <f>+J87</f>
        <v>0</v>
      </c>
      <c r="K96" s="721">
        <f t="shared" ref="K96:T96" si="14">+K87</f>
        <v>0</v>
      </c>
      <c r="L96" s="721">
        <f t="shared" si="14"/>
        <v>0</v>
      </c>
      <c r="M96" s="721">
        <f t="shared" si="14"/>
        <v>0</v>
      </c>
      <c r="N96" s="721">
        <f t="shared" si="14"/>
        <v>0</v>
      </c>
      <c r="O96" s="721">
        <f t="shared" si="14"/>
        <v>0</v>
      </c>
      <c r="P96" s="721">
        <f t="shared" si="14"/>
        <v>0</v>
      </c>
      <c r="Q96" s="721">
        <f t="shared" si="14"/>
        <v>0</v>
      </c>
      <c r="R96" s="721">
        <f t="shared" si="14"/>
        <v>0</v>
      </c>
      <c r="S96" s="721">
        <f t="shared" si="14"/>
        <v>0</v>
      </c>
      <c r="T96" s="721">
        <f t="shared" si="14"/>
        <v>0</v>
      </c>
      <c r="U96" s="848">
        <f>+U87</f>
        <v>0</v>
      </c>
      <c r="V96" s="856">
        <f>SUM(J96:U96)</f>
        <v>0</v>
      </c>
      <c r="W96" s="879"/>
    </row>
    <row r="97" spans="1:24" x14ac:dyDescent="0.35">
      <c r="A97" s="330"/>
      <c r="B97" s="330"/>
      <c r="I97" s="1048"/>
      <c r="J97" s="872"/>
      <c r="K97" s="872"/>
      <c r="L97" s="872"/>
      <c r="M97" s="872"/>
      <c r="N97" s="872"/>
      <c r="O97" s="872"/>
      <c r="P97" s="872"/>
      <c r="Q97" s="872"/>
      <c r="R97" s="872"/>
      <c r="S97" s="872"/>
      <c r="T97" s="872"/>
      <c r="U97" s="872"/>
      <c r="V97" s="873"/>
      <c r="W97" s="874"/>
    </row>
    <row r="98" spans="1:24" ht="15.5" x14ac:dyDescent="0.35">
      <c r="A98" s="330"/>
      <c r="B98" s="330"/>
      <c r="D98" s="381"/>
      <c r="I98" s="1049" t="s">
        <v>1945</v>
      </c>
      <c r="J98" s="869"/>
      <c r="K98" s="869"/>
      <c r="L98" s="869"/>
      <c r="M98" s="869"/>
      <c r="N98" s="869"/>
      <c r="O98" s="869"/>
      <c r="P98" s="869"/>
      <c r="Q98" s="869"/>
      <c r="R98" s="869"/>
      <c r="S98" s="869"/>
      <c r="T98" s="869"/>
      <c r="U98" s="869"/>
      <c r="V98" s="869"/>
      <c r="W98" s="869"/>
      <c r="X98" s="594"/>
    </row>
    <row r="99" spans="1:24" ht="15" thickBot="1" x14ac:dyDescent="0.4">
      <c r="A99" s="330"/>
      <c r="B99" s="330"/>
      <c r="I99" s="849" t="s">
        <v>295</v>
      </c>
      <c r="J99" s="850">
        <f t="shared" ref="J99:T99" si="15">SUM(J100:J103)</f>
        <v>604820733.57649982</v>
      </c>
      <c r="K99" s="850">
        <f t="shared" si="15"/>
        <v>559330406.55275095</v>
      </c>
      <c r="L99" s="850">
        <f t="shared" si="15"/>
        <v>438818928.46139878</v>
      </c>
      <c r="M99" s="850">
        <f t="shared" si="15"/>
        <v>440835874.01808661</v>
      </c>
      <c r="N99" s="850">
        <f t="shared" si="15"/>
        <v>433348882.10105962</v>
      </c>
      <c r="O99" s="850">
        <f t="shared" si="15"/>
        <v>431980143.99754733</v>
      </c>
      <c r="P99" s="850">
        <f t="shared" si="15"/>
        <v>432341587.4517054</v>
      </c>
      <c r="Q99" s="850">
        <f t="shared" si="15"/>
        <v>355836364.68104953</v>
      </c>
      <c r="R99" s="850">
        <f t="shared" si="15"/>
        <v>278323860.59770668</v>
      </c>
      <c r="S99" s="850">
        <f t="shared" si="15"/>
        <v>273436697.27130032</v>
      </c>
      <c r="T99" s="850">
        <f t="shared" si="15"/>
        <v>356286495.29398781</v>
      </c>
      <c r="U99" s="850">
        <f>SUM(U100:U103)</f>
        <v>481111188.56414282</v>
      </c>
      <c r="V99" s="850">
        <f>SUM(J99:U99)</f>
        <v>5086471162.5672359</v>
      </c>
      <c r="W99" s="869"/>
    </row>
    <row r="100" spans="1:24" ht="15" thickTop="1" x14ac:dyDescent="0.35">
      <c r="A100" s="330"/>
      <c r="B100" s="330"/>
      <c r="I100" s="860" t="s">
        <v>296</v>
      </c>
      <c r="J100" s="1106">
        <f>J93*(1+'MSCOA - Tariff Structure'!$U$2)</f>
        <v>258432235.85769755</v>
      </c>
      <c r="K100" s="1106">
        <f>K93*(1+'MSCOA - Tariff Structure'!$U$2)</f>
        <v>242469770.84606212</v>
      </c>
      <c r="L100" s="1106">
        <f>L93*(1+'MSCOA - Tariff Structure'!$U$2)</f>
        <v>222310492.39606848</v>
      </c>
      <c r="M100" s="1106">
        <f>M93*(1+'MSCOA - Tariff Structure'!$U$2)</f>
        <v>223149630.65517575</v>
      </c>
      <c r="N100" s="1106">
        <f>N93*(1+'MSCOA - Tariff Structure'!$U$2)</f>
        <v>222383989.07535398</v>
      </c>
      <c r="O100" s="1106">
        <f>O93*(1+'MSCOA - Tariff Structure'!$U$2)</f>
        <v>225113817.57654798</v>
      </c>
      <c r="P100" s="1106">
        <f>P93*(1+'MSCOA - Tariff Structure'!$U$2)</f>
        <v>213000583.60561848</v>
      </c>
      <c r="Q100" s="1106">
        <f>Q93*(1+'MSCOA - Tariff Structure'!$U$2)</f>
        <v>138048530.92338264</v>
      </c>
      <c r="R100" s="1106">
        <f>R93*(1+'MSCOA - Tariff Structure'!$U$2)</f>
        <v>111985174.5083144</v>
      </c>
      <c r="S100" s="1106">
        <f>S93*(1+'MSCOA - Tariff Structure'!$U$2)</f>
        <v>112854731.02061935</v>
      </c>
      <c r="T100" s="1106">
        <f>T93*(1+'MSCOA - Tariff Structure'!$U$2)</f>
        <v>186063812.09744081</v>
      </c>
      <c r="U100" s="1106">
        <f>U93*(1+'MSCOA - Tariff Structure'!$U$2)</f>
        <v>229126866.14475331</v>
      </c>
      <c r="V100" s="865">
        <f>SUM(J100:U100)</f>
        <v>2384939634.7070355</v>
      </c>
      <c r="W100" s="869"/>
    </row>
    <row r="101" spans="1:24" x14ac:dyDescent="0.35">
      <c r="A101" s="330"/>
      <c r="B101" s="330"/>
      <c r="I101" s="860" t="s">
        <v>297</v>
      </c>
      <c r="J101" s="1106">
        <f>J94*(1+'MSCOA - Tariff Structure'!$U$2)</f>
        <v>339300000.25544643</v>
      </c>
      <c r="K101" s="1106">
        <f>K94*(1+'MSCOA - Tariff Structure'!$U$2)</f>
        <v>309772138.24333286</v>
      </c>
      <c r="L101" s="1106">
        <f>L94*(1+'MSCOA - Tariff Structure'!$U$2)</f>
        <v>210928095.21407664</v>
      </c>
      <c r="M101" s="1106">
        <f>M94*(1+'MSCOA - Tariff Structure'!$U$2)</f>
        <v>212105902.51165715</v>
      </c>
      <c r="N101" s="1106">
        <f>N94*(1+'MSCOA - Tariff Structure'!$U$2)</f>
        <v>205384552.17445198</v>
      </c>
      <c r="O101" s="1106">
        <f>O94*(1+'MSCOA - Tariff Structure'!$U$2)</f>
        <v>201285985.56974563</v>
      </c>
      <c r="P101" s="1106">
        <f>P94*(1+'MSCOA - Tariff Structure'!$U$2)</f>
        <v>213760662.99483323</v>
      </c>
      <c r="Q101" s="1106">
        <f>Q94*(1+'MSCOA - Tariff Structure'!$U$2)</f>
        <v>212207492.90641323</v>
      </c>
      <c r="R101" s="1106">
        <f>R94*(1+'MSCOA - Tariff Structure'!$U$2)</f>
        <v>160758345.23813859</v>
      </c>
      <c r="S101" s="1106">
        <f>S94*(1+'MSCOA - Tariff Structure'!$U$2)</f>
        <v>155001625.39942729</v>
      </c>
      <c r="T101" s="1106">
        <f>T94*(1+'MSCOA - Tariff Structure'!$U$2)</f>
        <v>164642342.34529334</v>
      </c>
      <c r="U101" s="1106">
        <f>U94*(1+'MSCOA - Tariff Structure'!$U$2)</f>
        <v>244895824.95603365</v>
      </c>
      <c r="V101" s="865">
        <f>SUM(J101:U101)</f>
        <v>2630042967.8088503</v>
      </c>
      <c r="W101" s="869"/>
    </row>
    <row r="102" spans="1:24" x14ac:dyDescent="0.35">
      <c r="A102" s="330"/>
      <c r="B102" s="330"/>
      <c r="I102" s="860" t="s">
        <v>298</v>
      </c>
      <c r="J102" s="1106">
        <f>J95*(1+'MSCOA - Tariff Structure'!$U$2)</f>
        <v>7088497.4633559082</v>
      </c>
      <c r="K102" s="1106">
        <f>K95*(1+'MSCOA - Tariff Structure'!$U$2)</f>
        <v>7088497.4633559082</v>
      </c>
      <c r="L102" s="1106">
        <f>L95*(1+'MSCOA - Tariff Structure'!$U$2)</f>
        <v>5580340.8512536613</v>
      </c>
      <c r="M102" s="1106">
        <f>M95*(1+'MSCOA - Tariff Structure'!$U$2)</f>
        <v>5580340.8512536613</v>
      </c>
      <c r="N102" s="1106">
        <f>N95*(1+'MSCOA - Tariff Structure'!$U$2)</f>
        <v>5580340.8512536613</v>
      </c>
      <c r="O102" s="1106">
        <f>O95*(1+'MSCOA - Tariff Structure'!$U$2)</f>
        <v>5580340.8512536613</v>
      </c>
      <c r="P102" s="1106">
        <f>P95*(1+'MSCOA - Tariff Structure'!$U$2)</f>
        <v>5580340.8512536613</v>
      </c>
      <c r="Q102" s="1106">
        <f>Q95*(1+'MSCOA - Tariff Structure'!$U$2)</f>
        <v>5580340.8512536613</v>
      </c>
      <c r="R102" s="1106">
        <f>R95*(1+'MSCOA - Tariff Structure'!$U$2)</f>
        <v>5580340.8512536613</v>
      </c>
      <c r="S102" s="1106">
        <f>S95*(1+'MSCOA - Tariff Structure'!$U$2)</f>
        <v>5580340.8512536613</v>
      </c>
      <c r="T102" s="1106">
        <f>T95*(1+'MSCOA - Tariff Structure'!$U$2)</f>
        <v>5580340.8512536613</v>
      </c>
      <c r="U102" s="1106">
        <f>U95*(1+'MSCOA - Tariff Structure'!$U$2)</f>
        <v>7088497.4633559082</v>
      </c>
      <c r="V102" s="865">
        <f>SUM(J102:U102)</f>
        <v>71488560.051350668</v>
      </c>
      <c r="W102" s="869"/>
    </row>
    <row r="103" spans="1:24" x14ac:dyDescent="0.35">
      <c r="A103" s="330"/>
      <c r="B103" s="330"/>
      <c r="I103" s="861" t="s">
        <v>543</v>
      </c>
      <c r="J103" s="1108">
        <f>J96*(1+'MSCOA - Tariff Structure'!$U$2)</f>
        <v>0</v>
      </c>
      <c r="K103" s="1108">
        <f>K96*(1+'MSCOA - Tariff Structure'!$U$2)</f>
        <v>0</v>
      </c>
      <c r="L103" s="1108">
        <f>L96*(1+'MSCOA - Tariff Structure'!$U$2)</f>
        <v>0</v>
      </c>
      <c r="M103" s="1108">
        <f>M96*(1+'MSCOA - Tariff Structure'!$U$2)</f>
        <v>0</v>
      </c>
      <c r="N103" s="1108">
        <f>N96*(1+'MSCOA - Tariff Structure'!$U$2)</f>
        <v>0</v>
      </c>
      <c r="O103" s="1108">
        <f>O96*(1+'MSCOA - Tariff Structure'!$U$2)</f>
        <v>0</v>
      </c>
      <c r="P103" s="1108">
        <f>P96*(1+'MSCOA - Tariff Structure'!$U$2)</f>
        <v>0</v>
      </c>
      <c r="Q103" s="1108">
        <f>Q96*(1+'MSCOA - Tariff Structure'!$U$2)</f>
        <v>0</v>
      </c>
      <c r="R103" s="1108">
        <f>R96*(1+'MSCOA - Tariff Structure'!$U$2)</f>
        <v>0</v>
      </c>
      <c r="S103" s="1108">
        <f>S96*(1+'MSCOA - Tariff Structure'!$U$2)</f>
        <v>0</v>
      </c>
      <c r="T103" s="1108">
        <f>T96*(1+'MSCOA - Tariff Structure'!$U$2)</f>
        <v>0</v>
      </c>
      <c r="U103" s="1108">
        <f>U96*(1+'MSCOA - Tariff Structure'!$U$2)</f>
        <v>0</v>
      </c>
      <c r="V103" s="857">
        <f>SUM(J103:U103)</f>
        <v>0</v>
      </c>
      <c r="W103" s="869"/>
    </row>
    <row r="104" spans="1:24" x14ac:dyDescent="0.35">
      <c r="A104" s="330"/>
      <c r="B104" s="330"/>
      <c r="I104" s="1050"/>
      <c r="J104" s="869"/>
      <c r="K104" s="869"/>
      <c r="L104" s="869"/>
      <c r="M104" s="869"/>
      <c r="N104" s="869"/>
      <c r="O104" s="869"/>
      <c r="P104" s="869"/>
      <c r="Q104" s="869"/>
      <c r="R104" s="869"/>
      <c r="S104" s="869"/>
      <c r="T104" s="869"/>
      <c r="U104" s="869"/>
      <c r="V104" s="869"/>
      <c r="W104" s="869"/>
    </row>
    <row r="105" spans="1:24" ht="15.5" x14ac:dyDescent="0.35">
      <c r="A105" s="330"/>
      <c r="B105" s="330"/>
      <c r="I105" s="1049" t="s">
        <v>1947</v>
      </c>
      <c r="J105" s="869"/>
      <c r="K105" s="869"/>
      <c r="L105" s="869"/>
      <c r="M105" s="869"/>
      <c r="N105" s="869"/>
      <c r="O105" s="869"/>
      <c r="P105" s="869"/>
      <c r="Q105" s="869"/>
      <c r="R105" s="869"/>
      <c r="S105" s="869"/>
      <c r="T105" s="869"/>
      <c r="U105" s="869"/>
      <c r="V105" s="869"/>
      <c r="W105" s="869"/>
    </row>
    <row r="106" spans="1:24" ht="15" thickBot="1" x14ac:dyDescent="0.4">
      <c r="A106" s="330"/>
      <c r="B106" s="330"/>
      <c r="I106" s="854" t="s">
        <v>295</v>
      </c>
      <c r="J106" s="854">
        <f>SUM(J107:J110)</f>
        <v>619941251.91591227</v>
      </c>
      <c r="K106" s="854">
        <f t="shared" ref="K106:T106" si="16">SUM(K107:K110)</f>
        <v>573313666.71656966</v>
      </c>
      <c r="L106" s="854">
        <f t="shared" si="16"/>
        <v>449789401.6729337</v>
      </c>
      <c r="M106" s="854">
        <f t="shared" si="16"/>
        <v>451856770.86853868</v>
      </c>
      <c r="N106" s="854">
        <f t="shared" si="16"/>
        <v>444182604.15358603</v>
      </c>
      <c r="O106" s="854">
        <f t="shared" si="16"/>
        <v>442779647.5974859</v>
      </c>
      <c r="P106" s="854">
        <f t="shared" si="16"/>
        <v>443150127.13799798</v>
      </c>
      <c r="Q106" s="854">
        <f t="shared" si="16"/>
        <v>364732273.79807568</v>
      </c>
      <c r="R106" s="854">
        <f t="shared" si="16"/>
        <v>285281957.11264932</v>
      </c>
      <c r="S106" s="854">
        <f t="shared" si="16"/>
        <v>280272614.70308274</v>
      </c>
      <c r="T106" s="854">
        <f t="shared" si="16"/>
        <v>365193657.67633748</v>
      </c>
      <c r="U106" s="854">
        <f>SUM(U107:U110)</f>
        <v>493138968.2782464</v>
      </c>
      <c r="V106" s="854">
        <f>SUM(J106:U106)</f>
        <v>5213632941.6314163</v>
      </c>
      <c r="W106" s="869"/>
    </row>
    <row r="107" spans="1:24" ht="15" thickTop="1" x14ac:dyDescent="0.35">
      <c r="A107" s="330"/>
      <c r="B107" s="330"/>
      <c r="I107" s="863" t="s">
        <v>296</v>
      </c>
      <c r="J107" s="624">
        <f>J100*(1+'MSCOA - Tariff Structure'!$V$2)</f>
        <v>264893041.75413996</v>
      </c>
      <c r="K107" s="624">
        <f>K100*(1+'MSCOA - Tariff Structure'!$V$2)</f>
        <v>248531515.11721367</v>
      </c>
      <c r="L107" s="624">
        <f>L100*(1+'MSCOA - Tariff Structure'!$V$2)</f>
        <v>227868254.70597017</v>
      </c>
      <c r="M107" s="624">
        <f>M100*(1+'MSCOA - Tariff Structure'!$V$2)</f>
        <v>228728371.42155513</v>
      </c>
      <c r="N107" s="624">
        <f>N100*(1+'MSCOA - Tariff Structure'!$V$2)</f>
        <v>227943588.80223781</v>
      </c>
      <c r="O107" s="624">
        <f>O100*(1+'MSCOA - Tariff Structure'!$V$2)</f>
        <v>230741663.01596165</v>
      </c>
      <c r="P107" s="624">
        <f>P100*(1+'MSCOA - Tariff Structure'!$V$2)</f>
        <v>218325598.19575891</v>
      </c>
      <c r="Q107" s="624">
        <f>Q100*(1+'MSCOA - Tariff Structure'!$V$2)</f>
        <v>141499744.19646719</v>
      </c>
      <c r="R107" s="624">
        <f>R100*(1+'MSCOA - Tariff Structure'!$V$2)</f>
        <v>114784803.87102225</v>
      </c>
      <c r="S107" s="624">
        <f>S100*(1+'MSCOA - Tariff Structure'!$V$2)</f>
        <v>115676099.29613481</v>
      </c>
      <c r="T107" s="624">
        <f>T100*(1+'MSCOA - Tariff Structure'!$V$2)</f>
        <v>190715407.3998768</v>
      </c>
      <c r="U107" s="624">
        <f>U100*(1+'MSCOA - Tariff Structure'!$V$2)</f>
        <v>234855037.79837212</v>
      </c>
      <c r="V107" s="866">
        <f>SUM(J107:U107)</f>
        <v>2444563125.5747104</v>
      </c>
      <c r="W107" s="869"/>
    </row>
    <row r="108" spans="1:24" x14ac:dyDescent="0.35">
      <c r="A108" s="330"/>
      <c r="B108" s="330"/>
      <c r="I108" s="863" t="s">
        <v>297</v>
      </c>
      <c r="J108" s="624">
        <f>J101*(1+'MSCOA - Tariff Structure'!$V$2)</f>
        <v>347782500.26183254</v>
      </c>
      <c r="K108" s="624">
        <f>K101*(1+'MSCOA - Tariff Structure'!$V$2)</f>
        <v>317516441.69941616</v>
      </c>
      <c r="L108" s="624">
        <f>L101*(1+'MSCOA - Tariff Structure'!$V$2)</f>
        <v>216201297.59442854</v>
      </c>
      <c r="M108" s="624">
        <f>M101*(1+'MSCOA - Tariff Structure'!$V$2)</f>
        <v>217408550.07444856</v>
      </c>
      <c r="N108" s="624">
        <f>N101*(1+'MSCOA - Tariff Structure'!$V$2)</f>
        <v>210519165.97881326</v>
      </c>
      <c r="O108" s="624">
        <f>O101*(1+'MSCOA - Tariff Structure'!$V$2)</f>
        <v>206318135.20898926</v>
      </c>
      <c r="P108" s="624">
        <f>P101*(1+'MSCOA - Tariff Structure'!$V$2)</f>
        <v>219104679.56970406</v>
      </c>
      <c r="Q108" s="624">
        <f>Q101*(1+'MSCOA - Tariff Structure'!$V$2)</f>
        <v>217512680.22907352</v>
      </c>
      <c r="R108" s="624">
        <f>R101*(1+'MSCOA - Tariff Structure'!$V$2)</f>
        <v>164777303.86909205</v>
      </c>
      <c r="S108" s="624">
        <f>S101*(1+'MSCOA - Tariff Structure'!$V$2)</f>
        <v>158876666.03441295</v>
      </c>
      <c r="T108" s="624">
        <f>T101*(1+'MSCOA - Tariff Structure'!$V$2)</f>
        <v>168758400.90392566</v>
      </c>
      <c r="U108" s="624">
        <f>U101*(1+'MSCOA - Tariff Structure'!$V$2)</f>
        <v>251018220.57993448</v>
      </c>
      <c r="V108" s="866">
        <f>SUM(J108:U108)</f>
        <v>2695794042.0040708</v>
      </c>
      <c r="W108" s="869"/>
    </row>
    <row r="109" spans="1:24" x14ac:dyDescent="0.35">
      <c r="A109" s="330"/>
      <c r="B109" s="330"/>
      <c r="I109" s="863" t="s">
        <v>298</v>
      </c>
      <c r="J109" s="624">
        <f>J102*(1+'MSCOA - Tariff Structure'!$V$2)</f>
        <v>7265709.8999398053</v>
      </c>
      <c r="K109" s="624">
        <f>K102*(1+'MSCOA - Tariff Structure'!$V$2)</f>
        <v>7265709.8999398053</v>
      </c>
      <c r="L109" s="624">
        <f>L102*(1+'MSCOA - Tariff Structure'!$V$2)</f>
        <v>5719849.3725350024</v>
      </c>
      <c r="M109" s="624">
        <f>M102*(1+'MSCOA - Tariff Structure'!$V$2)</f>
        <v>5719849.3725350024</v>
      </c>
      <c r="N109" s="624">
        <f>N102*(1+'MSCOA - Tariff Structure'!$V$2)</f>
        <v>5719849.3725350024</v>
      </c>
      <c r="O109" s="624">
        <f>O102*(1+'MSCOA - Tariff Structure'!$V$2)</f>
        <v>5719849.3725350024</v>
      </c>
      <c r="P109" s="624">
        <f>P102*(1+'MSCOA - Tariff Structure'!$V$2)</f>
        <v>5719849.3725350024</v>
      </c>
      <c r="Q109" s="624">
        <f>Q102*(1+'MSCOA - Tariff Structure'!$V$2)</f>
        <v>5719849.3725350024</v>
      </c>
      <c r="R109" s="624">
        <f>R102*(1+'MSCOA - Tariff Structure'!$V$2)</f>
        <v>5719849.3725350024</v>
      </c>
      <c r="S109" s="624">
        <f>S102*(1+'MSCOA - Tariff Structure'!$V$2)</f>
        <v>5719849.3725350024</v>
      </c>
      <c r="T109" s="624">
        <f>T102*(1+'MSCOA - Tariff Structure'!$V$2)</f>
        <v>5719849.3725350024</v>
      </c>
      <c r="U109" s="624">
        <f>U102*(1+'MSCOA - Tariff Structure'!$V$2)</f>
        <v>7265709.8999398053</v>
      </c>
      <c r="V109" s="866">
        <f>SUM(J109:U109)</f>
        <v>73275774.052634448</v>
      </c>
      <c r="W109" s="869"/>
    </row>
    <row r="110" spans="1:24" x14ac:dyDescent="0.35">
      <c r="A110" s="330"/>
      <c r="B110" s="330"/>
      <c r="I110" s="626" t="s">
        <v>543</v>
      </c>
      <c r="J110" s="864">
        <f>J103*(1+'MSCOA - Tariff Structure'!$V$2)</f>
        <v>0</v>
      </c>
      <c r="K110" s="864">
        <f>K103*(1+'MSCOA - Tariff Structure'!$V$2)</f>
        <v>0</v>
      </c>
      <c r="L110" s="864">
        <f>L103*(1+'MSCOA - Tariff Structure'!$V$2)</f>
        <v>0</v>
      </c>
      <c r="M110" s="864">
        <f>M103*(1+'MSCOA - Tariff Structure'!$V$2)</f>
        <v>0</v>
      </c>
      <c r="N110" s="864">
        <f>N103*(1+'MSCOA - Tariff Structure'!$V$2)</f>
        <v>0</v>
      </c>
      <c r="O110" s="864">
        <f>O103*(1+'MSCOA - Tariff Structure'!$V$2)</f>
        <v>0</v>
      </c>
      <c r="P110" s="864">
        <f>P103*(1+'MSCOA - Tariff Structure'!$V$2)</f>
        <v>0</v>
      </c>
      <c r="Q110" s="864">
        <f>Q103*(1+'MSCOA - Tariff Structure'!$V$2)</f>
        <v>0</v>
      </c>
      <c r="R110" s="864">
        <f>R103*(1+'MSCOA - Tariff Structure'!$V$2)</f>
        <v>0</v>
      </c>
      <c r="S110" s="864">
        <f>S103*(1+'MSCOA - Tariff Structure'!$V$2)</f>
        <v>0</v>
      </c>
      <c r="T110" s="864">
        <f>T103*(1+'MSCOA - Tariff Structure'!$V$2)</f>
        <v>0</v>
      </c>
      <c r="U110" s="864">
        <f>U103*(1+'MSCOA - Tariff Structure'!$V$2)</f>
        <v>0</v>
      </c>
      <c r="V110" s="858">
        <f>SUM(J110:U110)</f>
        <v>0</v>
      </c>
      <c r="W110" s="869"/>
    </row>
    <row r="111" spans="1:24" x14ac:dyDescent="0.35">
      <c r="A111" s="330"/>
      <c r="B111" s="330"/>
      <c r="I111" s="1050"/>
      <c r="J111" s="869"/>
      <c r="K111" s="869"/>
      <c r="L111" s="869"/>
      <c r="M111" s="869"/>
      <c r="N111" s="869"/>
      <c r="O111" s="869"/>
      <c r="P111" s="869"/>
      <c r="Q111" s="869"/>
      <c r="R111" s="869"/>
      <c r="S111" s="869"/>
      <c r="T111" s="869"/>
      <c r="U111" s="869"/>
      <c r="V111" s="869"/>
      <c r="W111" s="869"/>
    </row>
    <row r="112" spans="1:24" ht="15.5" hidden="1" x14ac:dyDescent="0.35">
      <c r="A112" s="330"/>
      <c r="B112" s="330"/>
      <c r="I112" s="1049" t="s">
        <v>1947</v>
      </c>
      <c r="J112" s="869"/>
      <c r="K112" s="869"/>
      <c r="L112" s="869"/>
      <c r="M112" s="869"/>
      <c r="N112" s="869"/>
      <c r="O112" s="869"/>
      <c r="P112" s="869"/>
      <c r="Q112" s="869"/>
      <c r="R112" s="869"/>
      <c r="S112" s="869"/>
      <c r="T112" s="869"/>
      <c r="U112" s="869"/>
      <c r="V112" s="869"/>
      <c r="W112" s="869"/>
    </row>
    <row r="113" spans="1:24" ht="15" hidden="1" thickBot="1" x14ac:dyDescent="0.4">
      <c r="A113" s="330"/>
      <c r="B113" s="330"/>
      <c r="I113" s="1085" t="s">
        <v>295</v>
      </c>
      <c r="J113" s="1085">
        <f>SUM(J114:J117)</f>
        <v>664515027.92866647</v>
      </c>
      <c r="K113" s="1085">
        <f t="shared" ref="K113:T113" si="17">SUM(K114:K117)</f>
        <v>614534919.35349107</v>
      </c>
      <c r="L113" s="1085">
        <f t="shared" si="17"/>
        <v>482129259.65321767</v>
      </c>
      <c r="M113" s="1085">
        <f t="shared" si="17"/>
        <v>484345272.69398665</v>
      </c>
      <c r="N113" s="1085">
        <f t="shared" si="17"/>
        <v>476119333.39222896</v>
      </c>
      <c r="O113" s="1085">
        <f t="shared" si="17"/>
        <v>474615504.25974518</v>
      </c>
      <c r="P113" s="1085">
        <f t="shared" si="17"/>
        <v>475012621.2792201</v>
      </c>
      <c r="Q113" s="1085">
        <f t="shared" si="17"/>
        <v>390956524.2841574</v>
      </c>
      <c r="R113" s="1085">
        <f t="shared" si="17"/>
        <v>305793729.82904881</v>
      </c>
      <c r="S113" s="1085">
        <f t="shared" si="17"/>
        <v>300424215.70023441</v>
      </c>
      <c r="T113" s="1085">
        <f t="shared" si="17"/>
        <v>391451081.66326618</v>
      </c>
      <c r="U113" s="1085">
        <f>SUM(U114:U117)</f>
        <v>528595660.09745234</v>
      </c>
      <c r="V113" s="1085">
        <f>SUM(J113:U113)</f>
        <v>5588493150.1347151</v>
      </c>
      <c r="W113" s="869"/>
    </row>
    <row r="114" spans="1:24" hidden="1" x14ac:dyDescent="0.35">
      <c r="A114" s="330"/>
      <c r="B114" s="330"/>
      <c r="I114" s="1086" t="s">
        <v>296</v>
      </c>
      <c r="J114" s="1086">
        <f>J107*(1+'MSCOA - Tariff Structure'!$U$2)</f>
        <v>283938851.45626265</v>
      </c>
      <c r="K114" s="1087">
        <f>K107*(1+'MSCOA - Tariff Structure'!$U$2)</f>
        <v>266400931.05414134</v>
      </c>
      <c r="L114" s="1087">
        <f>L107*(1+'MSCOA - Tariff Structure'!$U$2)</f>
        <v>244251982.21932945</v>
      </c>
      <c r="M114" s="1087">
        <f>M107*(1+'MSCOA - Tariff Structure'!$U$2)</f>
        <v>245173941.32676497</v>
      </c>
      <c r="N114" s="1087">
        <f>N107*(1+'MSCOA - Tariff Structure'!$U$2)</f>
        <v>244332732.83711872</v>
      </c>
      <c r="O114" s="1087">
        <f>O107*(1+'MSCOA - Tariff Structure'!$U$2)</f>
        <v>247331988.58680931</v>
      </c>
      <c r="P114" s="1087">
        <f>P107*(1+'MSCOA - Tariff Structure'!$U$2)</f>
        <v>234023208.706034</v>
      </c>
      <c r="Q114" s="1087">
        <f>Q107*(1+'MSCOA - Tariff Structure'!$U$2)</f>
        <v>151673575.8041932</v>
      </c>
      <c r="R114" s="1087">
        <f>R107*(1+'MSCOA - Tariff Structure'!$U$2)</f>
        <v>123037831.26934876</v>
      </c>
      <c r="S114" s="1087">
        <f>S107*(1+'MSCOA - Tariff Structure'!$U$2)</f>
        <v>123993210.83552691</v>
      </c>
      <c r="T114" s="1087">
        <f>T107*(1+'MSCOA - Tariff Structure'!$U$2)</f>
        <v>204427845.19192797</v>
      </c>
      <c r="U114" s="1110">
        <f>U107*(1+'MSCOA - Tariff Structure'!$U$2)</f>
        <v>251741115.0160751</v>
      </c>
      <c r="V114" s="1088">
        <f>SUM(J114:U114)</f>
        <v>2620327214.3035326</v>
      </c>
      <c r="W114" s="869"/>
    </row>
    <row r="115" spans="1:24" hidden="1" x14ac:dyDescent="0.35">
      <c r="A115" s="330"/>
      <c r="B115" s="330"/>
      <c r="I115" s="1086" t="s">
        <v>297</v>
      </c>
      <c r="J115" s="1086">
        <f>J108*(1+'MSCOA - Tariff Structure'!$U$2)</f>
        <v>372788062.0306583</v>
      </c>
      <c r="K115" s="1087">
        <f>K108*(1+'MSCOA - Tariff Structure'!$U$2)</f>
        <v>340345873.85760421</v>
      </c>
      <c r="L115" s="1087">
        <f>L108*(1+'MSCOA - Tariff Structure'!$U$2)</f>
        <v>231746170.89146796</v>
      </c>
      <c r="M115" s="1087">
        <f>M108*(1+'MSCOA - Tariff Structure'!$U$2)</f>
        <v>233040224.82480142</v>
      </c>
      <c r="N115" s="1087">
        <f>N108*(1+'MSCOA - Tariff Structure'!$U$2)</f>
        <v>225655494.01268995</v>
      </c>
      <c r="O115" s="1087">
        <f>O108*(1+'MSCOA - Tariff Structure'!$U$2)</f>
        <v>221152409.13051561</v>
      </c>
      <c r="P115" s="1087">
        <f>P108*(1+'MSCOA - Tariff Structure'!$U$2)</f>
        <v>234858306.0307658</v>
      </c>
      <c r="Q115" s="1087">
        <f>Q108*(1+'MSCOA - Tariff Structure'!$U$2)</f>
        <v>233151841.93754393</v>
      </c>
      <c r="R115" s="1087">
        <f>R108*(1+'MSCOA - Tariff Structure'!$U$2)</f>
        <v>176624792.01727977</v>
      </c>
      <c r="S115" s="1087">
        <f>S108*(1+'MSCOA - Tariff Structure'!$U$2)</f>
        <v>170299898.32228726</v>
      </c>
      <c r="T115" s="1087">
        <f>T108*(1+'MSCOA - Tariff Structure'!$U$2)</f>
        <v>180892129.92891791</v>
      </c>
      <c r="U115" s="1110">
        <f>U108*(1+'MSCOA - Tariff Structure'!$U$2)</f>
        <v>269066430.63963181</v>
      </c>
      <c r="V115" s="1088">
        <f>SUM(J115:U115)</f>
        <v>2889621633.6241636</v>
      </c>
      <c r="W115" s="869"/>
    </row>
    <row r="116" spans="1:24" hidden="1" x14ac:dyDescent="0.35">
      <c r="A116" s="330"/>
      <c r="B116" s="330"/>
      <c r="I116" s="1086" t="s">
        <v>298</v>
      </c>
      <c r="J116" s="1086">
        <f>J109*(1+'MSCOA - Tariff Structure'!$U$2)</f>
        <v>7788114.4417454777</v>
      </c>
      <c r="K116" s="1087">
        <f>K109*(1+'MSCOA - Tariff Structure'!$U$2)</f>
        <v>7788114.4417454777</v>
      </c>
      <c r="L116" s="1087">
        <f>L109*(1+'MSCOA - Tariff Structure'!$U$2)</f>
        <v>6131106.5424202699</v>
      </c>
      <c r="M116" s="1087">
        <f>M109*(1+'MSCOA - Tariff Structure'!$U$2)</f>
        <v>6131106.5424202699</v>
      </c>
      <c r="N116" s="1087">
        <f>N109*(1+'MSCOA - Tariff Structure'!$U$2)</f>
        <v>6131106.5424202699</v>
      </c>
      <c r="O116" s="1087">
        <f>O109*(1+'MSCOA - Tariff Structure'!$U$2)</f>
        <v>6131106.5424202699</v>
      </c>
      <c r="P116" s="1087">
        <f>P109*(1+'MSCOA - Tariff Structure'!$U$2)</f>
        <v>6131106.5424202699</v>
      </c>
      <c r="Q116" s="1087">
        <f>Q109*(1+'MSCOA - Tariff Structure'!$U$2)</f>
        <v>6131106.5424202699</v>
      </c>
      <c r="R116" s="1087">
        <f>R109*(1+'MSCOA - Tariff Structure'!$U$2)</f>
        <v>6131106.5424202699</v>
      </c>
      <c r="S116" s="1087">
        <f>S109*(1+'MSCOA - Tariff Structure'!$U$2)</f>
        <v>6131106.5424202699</v>
      </c>
      <c r="T116" s="1087">
        <f>T109*(1+'MSCOA - Tariff Structure'!$U$2)</f>
        <v>6131106.5424202699</v>
      </c>
      <c r="U116" s="1110">
        <f>U109*(1+'MSCOA - Tariff Structure'!$U$2)</f>
        <v>7788114.4417454777</v>
      </c>
      <c r="V116" s="1088">
        <f>SUM(J116:U116)</f>
        <v>78544302.207018852</v>
      </c>
      <c r="W116" s="869"/>
    </row>
    <row r="117" spans="1:24" hidden="1" x14ac:dyDescent="0.35">
      <c r="A117" s="330"/>
      <c r="B117" s="330"/>
      <c r="I117" s="1089" t="s">
        <v>543</v>
      </c>
      <c r="J117" s="1089">
        <f>J110*(1+'MSCOA - Tariff Structure'!$U$2)</f>
        <v>0</v>
      </c>
      <c r="K117" s="1090">
        <f>K110*(1+'MSCOA - Tariff Structure'!$U$2)</f>
        <v>0</v>
      </c>
      <c r="L117" s="1090">
        <f>L110*(1+'MSCOA - Tariff Structure'!$U$2)</f>
        <v>0</v>
      </c>
      <c r="M117" s="1090">
        <f>M110*(1+'MSCOA - Tariff Structure'!$U$2)</f>
        <v>0</v>
      </c>
      <c r="N117" s="1090">
        <f>N110*(1+'MSCOA - Tariff Structure'!$U$2)</f>
        <v>0</v>
      </c>
      <c r="O117" s="1090">
        <f>O110*(1+'MSCOA - Tariff Structure'!$U$2)</f>
        <v>0</v>
      </c>
      <c r="P117" s="1090">
        <f>P110*(1+'MSCOA - Tariff Structure'!$U$2)</f>
        <v>0</v>
      </c>
      <c r="Q117" s="1090">
        <f>Q110*(1+'MSCOA - Tariff Structure'!$U$2)</f>
        <v>0</v>
      </c>
      <c r="R117" s="1090">
        <f>R110*(1+'MSCOA - Tariff Structure'!$U$2)</f>
        <v>0</v>
      </c>
      <c r="S117" s="1090">
        <f>S110*(1+'MSCOA - Tariff Structure'!$U$2)</f>
        <v>0</v>
      </c>
      <c r="T117" s="1090">
        <f>T110*(1+'MSCOA - Tariff Structure'!$U$2)</f>
        <v>0</v>
      </c>
      <c r="U117" s="1111">
        <f>U110*(1+'MSCOA - Tariff Structure'!$U$2)</f>
        <v>0</v>
      </c>
      <c r="V117" s="1091">
        <f>SUM(J117:U117)</f>
        <v>0</v>
      </c>
      <c r="W117" s="869"/>
    </row>
    <row r="118" spans="1:24" x14ac:dyDescent="0.35">
      <c r="A118" s="330"/>
      <c r="B118" s="330"/>
      <c r="C118" s="330"/>
      <c r="D118" s="330"/>
      <c r="E118" s="330"/>
      <c r="F118" s="330"/>
      <c r="G118" s="330"/>
      <c r="H118" s="330"/>
      <c r="I118" s="330"/>
      <c r="J118" s="330"/>
      <c r="K118" s="330"/>
      <c r="L118" s="330"/>
      <c r="M118" s="330"/>
      <c r="N118" s="330"/>
      <c r="O118" s="330"/>
      <c r="P118" s="330"/>
      <c r="Q118" s="330"/>
      <c r="R118" s="330"/>
      <c r="S118" s="330"/>
      <c r="T118" s="330"/>
      <c r="U118" s="330"/>
      <c r="V118" s="330"/>
      <c r="W118" s="869"/>
      <c r="X118" s="330"/>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pageSetUpPr fitToPage="1"/>
  </sheetPr>
  <dimension ref="A1:AD164"/>
  <sheetViews>
    <sheetView tabSelected="1" view="pageBreakPreview" topLeftCell="A33" zoomScale="98" zoomScaleNormal="100" zoomScaleSheetLayoutView="98" workbookViewId="0">
      <pane xSplit="1" topLeftCell="B1" activePane="topRight" state="frozen"/>
      <selection pane="topRight" activeCell="Y129" sqref="Y129"/>
    </sheetView>
  </sheetViews>
  <sheetFormatPr defaultRowHeight="14.5" x14ac:dyDescent="0.35"/>
  <cols>
    <col min="1" max="1" width="29.6328125" customWidth="1"/>
    <col min="2" max="2" width="24.36328125" customWidth="1"/>
    <col min="3" max="3" width="12.6328125" style="270" hidden="1" customWidth="1"/>
    <col min="4" max="4" width="12.6328125" style="795" hidden="1" customWidth="1"/>
    <col min="5" max="5" width="13.36328125" hidden="1" customWidth="1"/>
    <col min="6" max="7" width="12.6328125" style="270" hidden="1" customWidth="1"/>
    <col min="8" max="8" width="20.453125" hidden="1" customWidth="1"/>
    <col min="9" max="10" width="11.453125" style="270" hidden="1" customWidth="1"/>
    <col min="11" max="11" width="22.54296875" hidden="1" customWidth="1"/>
    <col min="12" max="13" width="12.453125" style="270" hidden="1" customWidth="1"/>
    <col min="14" max="14" width="22.54296875" hidden="1" customWidth="1"/>
    <col min="15" max="15" width="9.36328125" bestFit="1" customWidth="1"/>
    <col min="16" max="16" width="8.08984375" bestFit="1" customWidth="1"/>
    <col min="17" max="17" width="22.54296875" bestFit="1" customWidth="1"/>
    <col min="18" max="18" width="9.36328125" bestFit="1" customWidth="1"/>
    <col min="19" max="19" width="8.08984375" bestFit="1" customWidth="1"/>
    <col min="20" max="20" width="22.54296875" bestFit="1" customWidth="1"/>
    <col min="21" max="21" width="9.36328125" bestFit="1" customWidth="1"/>
    <col min="22" max="22" width="8.08984375" bestFit="1" customWidth="1"/>
    <col min="23" max="23" width="22.54296875" bestFit="1" customWidth="1"/>
    <col min="24" max="24" width="9.36328125" bestFit="1" customWidth="1"/>
    <col min="25" max="25" width="8.08984375" bestFit="1" customWidth="1"/>
  </cols>
  <sheetData>
    <row r="1" spans="1:30" ht="35.15" customHeight="1" x14ac:dyDescent="0.4">
      <c r="A1" s="1137" t="s">
        <v>1339</v>
      </c>
      <c r="B1" s="826"/>
      <c r="C1" s="827"/>
      <c r="D1" s="828"/>
      <c r="E1" s="826"/>
      <c r="F1" s="829"/>
      <c r="G1" s="829"/>
      <c r="H1" s="829"/>
      <c r="I1" s="830"/>
      <c r="J1" s="830"/>
      <c r="K1" s="831"/>
      <c r="L1" s="832"/>
      <c r="M1" s="832"/>
      <c r="N1" s="833" t="s">
        <v>1340</v>
      </c>
      <c r="O1" s="831"/>
      <c r="P1" s="829"/>
      <c r="Q1" s="829"/>
      <c r="R1" s="1138"/>
      <c r="S1" s="1138"/>
      <c r="T1" s="1138"/>
      <c r="U1" s="1138"/>
      <c r="V1" s="1138"/>
      <c r="W1" s="1138"/>
      <c r="X1" s="1138"/>
      <c r="Y1" s="1138"/>
    </row>
    <row r="2" spans="1:30" x14ac:dyDescent="0.35">
      <c r="A2" s="1139" t="s">
        <v>1952</v>
      </c>
      <c r="B2" s="1138"/>
      <c r="C2" s="830"/>
      <c r="D2" s="1140"/>
      <c r="E2" s="1138"/>
      <c r="F2" s="830"/>
      <c r="G2" s="830"/>
      <c r="H2" s="1138"/>
      <c r="I2" s="830"/>
      <c r="J2" s="830"/>
      <c r="K2" s="1138"/>
      <c r="L2" s="830"/>
      <c r="M2" s="830"/>
      <c r="N2" s="1138"/>
      <c r="O2" s="1138"/>
      <c r="P2" s="1138"/>
      <c r="Q2" s="1138"/>
      <c r="R2" s="1138"/>
      <c r="S2" s="1138"/>
      <c r="T2" s="1138"/>
      <c r="U2" s="1138"/>
      <c r="V2" s="1138"/>
      <c r="W2" s="1138"/>
      <c r="X2" s="1138"/>
      <c r="Y2" s="1138"/>
    </row>
    <row r="3" spans="1:30" x14ac:dyDescent="0.35">
      <c r="A3" s="316"/>
      <c r="B3" s="316"/>
      <c r="C3" s="678"/>
      <c r="D3" s="788"/>
      <c r="E3" s="542"/>
      <c r="F3" s="678"/>
      <c r="G3" s="678"/>
      <c r="H3" s="316"/>
      <c r="I3" s="678"/>
      <c r="J3" s="678"/>
      <c r="K3" s="316"/>
      <c r="L3" s="678"/>
      <c r="M3" s="678"/>
      <c r="N3" s="316"/>
      <c r="O3" s="560"/>
      <c r="P3" s="316"/>
      <c r="Q3" s="316"/>
      <c r="R3" s="560"/>
      <c r="S3" s="560"/>
      <c r="T3" s="560"/>
      <c r="U3" s="560"/>
      <c r="V3" s="560"/>
      <c r="W3" s="560"/>
      <c r="X3" s="560"/>
      <c r="Y3" s="560"/>
    </row>
    <row r="4" spans="1:30" x14ac:dyDescent="0.35">
      <c r="A4" s="1160" t="s">
        <v>1341</v>
      </c>
      <c r="B4" s="1160"/>
      <c r="C4" s="1161" t="s">
        <v>1522</v>
      </c>
      <c r="D4" s="1161"/>
      <c r="E4" s="1154" t="s">
        <v>1893</v>
      </c>
      <c r="F4" s="1158" t="s">
        <v>1622</v>
      </c>
      <c r="G4" s="1159"/>
      <c r="H4" s="1154" t="s">
        <v>1895</v>
      </c>
      <c r="I4" s="1158" t="s">
        <v>1630</v>
      </c>
      <c r="J4" s="1159"/>
      <c r="K4" s="1154" t="s">
        <v>1896</v>
      </c>
      <c r="L4" s="1158" t="s">
        <v>1894</v>
      </c>
      <c r="M4" s="1159"/>
      <c r="N4" s="1154" t="s">
        <v>1925</v>
      </c>
      <c r="O4" s="1158" t="s">
        <v>1901</v>
      </c>
      <c r="P4" s="1159"/>
      <c r="Q4" s="1154" t="s">
        <v>1926</v>
      </c>
      <c r="R4" s="1158" t="s">
        <v>1918</v>
      </c>
      <c r="S4" s="1159"/>
      <c r="T4" s="1154" t="s">
        <v>1927</v>
      </c>
      <c r="U4" s="1155" t="s">
        <v>1924</v>
      </c>
      <c r="V4" s="1153"/>
      <c r="W4" s="1154" t="s">
        <v>1946</v>
      </c>
      <c r="X4" s="1155" t="s">
        <v>1945</v>
      </c>
      <c r="Y4" s="1153"/>
    </row>
    <row r="5" spans="1:30" x14ac:dyDescent="0.35">
      <c r="A5" s="352"/>
      <c r="B5" s="352"/>
      <c r="C5" s="679" t="s">
        <v>249</v>
      </c>
      <c r="D5" s="789" t="s">
        <v>250</v>
      </c>
      <c r="E5" s="1154"/>
      <c r="F5" s="679" t="s">
        <v>249</v>
      </c>
      <c r="G5" s="679" t="s">
        <v>250</v>
      </c>
      <c r="H5" s="1154"/>
      <c r="I5" s="686" t="s">
        <v>249</v>
      </c>
      <c r="J5" s="686" t="s">
        <v>250</v>
      </c>
      <c r="K5" s="1154"/>
      <c r="L5" s="686" t="s">
        <v>249</v>
      </c>
      <c r="M5" s="686" t="s">
        <v>250</v>
      </c>
      <c r="N5" s="1154"/>
      <c r="O5" s="686" t="s">
        <v>249</v>
      </c>
      <c r="P5" s="686" t="s">
        <v>250</v>
      </c>
      <c r="Q5" s="1154"/>
      <c r="R5" s="686" t="s">
        <v>249</v>
      </c>
      <c r="S5" s="686" t="s">
        <v>250</v>
      </c>
      <c r="T5" s="1152"/>
      <c r="U5" s="843" t="s">
        <v>249</v>
      </c>
      <c r="V5" s="843" t="s">
        <v>250</v>
      </c>
      <c r="W5" s="1152"/>
      <c r="X5" s="843" t="s">
        <v>249</v>
      </c>
      <c r="Y5" s="843" t="s">
        <v>250</v>
      </c>
      <c r="AA5" s="843" t="s">
        <v>249</v>
      </c>
      <c r="AB5" s="843" t="s">
        <v>250</v>
      </c>
      <c r="AC5" s="843" t="s">
        <v>249</v>
      </c>
      <c r="AD5" s="843" t="s">
        <v>250</v>
      </c>
    </row>
    <row r="6" spans="1:30" s="248" customFormat="1" x14ac:dyDescent="0.35">
      <c r="A6" s="732" t="s">
        <v>1342</v>
      </c>
      <c r="B6" s="733"/>
      <c r="C6" s="734">
        <v>1.2070000000000001</v>
      </c>
      <c r="D6" s="790">
        <v>1.5331999999999999</v>
      </c>
      <c r="E6" s="735">
        <f t="shared" ref="E6:E8" si="0">(F6/C6-1)*9/12+(G6/D6-1)*3/12</f>
        <v>0.14590019012495803</v>
      </c>
      <c r="F6" s="734">
        <v>1.3831</v>
      </c>
      <c r="G6" s="734">
        <v>1.7568999999999999</v>
      </c>
      <c r="H6" s="735">
        <f t="shared" ref="H6" si="1">(I6/F6-1)*9/12+(J6/G6-1)*3/12</f>
        <v>7.4699999999999989E-2</v>
      </c>
      <c r="I6" s="349">
        <v>1.48641757</v>
      </c>
      <c r="J6" s="349">
        <v>1.88814043</v>
      </c>
      <c r="K6" s="735">
        <f t="shared" ref="K6:K8" si="2">(L6/I6-1)*9/12+(M6/J6-1)*3/12</f>
        <v>0.15100000000000002</v>
      </c>
      <c r="L6" s="349">
        <f>I6*(1+'MSCOA - Tariff Structure'!$Q$2)</f>
        <v>1.71086662307</v>
      </c>
      <c r="M6" s="349">
        <f>J6*(1+'MSCOA - Tariff Structure'!$Q$2)</f>
        <v>2.1732496349299999</v>
      </c>
      <c r="N6" s="821">
        <f>(O6/L6-1)*9/12+(P6/M6-1)*3/12</f>
        <v>0.12199999999999989</v>
      </c>
      <c r="O6" s="364">
        <f>L6*(1+'MSCOA - Tariff Structure'!$R$2)</f>
        <v>1.9195923510845398</v>
      </c>
      <c r="P6" s="364">
        <f>M6*(1+'MSCOA - Tariff Structure'!$R$2)</f>
        <v>2.4383860903914596</v>
      </c>
      <c r="Q6" s="821">
        <f>(R6/O6-1)*9/12+(S6/P6-1)*3/12</f>
        <v>0.12400000000000011</v>
      </c>
      <c r="R6" s="364">
        <f>O6*(1+'MSCOA - Tariff Structure'!$S$2)</f>
        <v>2.157621802619023</v>
      </c>
      <c r="S6" s="364">
        <f>P6*(1+'MSCOA - Tariff Structure'!$S$2)</f>
        <v>2.7407459656000008</v>
      </c>
      <c r="T6" s="821">
        <f>(U6/R6-1)*9/12+(V6/S6-1)*3/12</f>
        <v>9.8999999999999977E-2</v>
      </c>
      <c r="U6" s="364">
        <f>R6*(1+'MSCOA - Tariff Structure'!$T$2)</f>
        <v>2.3712263610783064</v>
      </c>
      <c r="V6" s="364">
        <f>S6*(1+'MSCOA - Tariff Structure'!$T$2)</f>
        <v>3.0120798161944009</v>
      </c>
      <c r="W6" s="821">
        <f>(X6/U6-1)*9/12+(Y6/V6-1)*3/12</f>
        <v>7.1900000000000075E-2</v>
      </c>
      <c r="X6" s="364">
        <f>U6*(1+'MSCOA - Tariff Structure'!$U$2)</f>
        <v>2.5417175364398368</v>
      </c>
      <c r="Y6" s="364">
        <f>V6*(1+'MSCOA - Tariff Structure'!$U$2)</f>
        <v>3.2286483549787786</v>
      </c>
    </row>
    <row r="7" spans="1:30" x14ac:dyDescent="0.35">
      <c r="A7" s="358" t="s">
        <v>1343</v>
      </c>
      <c r="B7" s="356"/>
      <c r="C7" s="680">
        <v>1.2846</v>
      </c>
      <c r="D7" s="791">
        <v>1.6371</v>
      </c>
      <c r="E7" s="357">
        <f t="shared" si="0"/>
        <v>0.14589368408171893</v>
      </c>
      <c r="F7" s="680">
        <v>1.472</v>
      </c>
      <c r="G7" s="680">
        <v>1.8759999999999999</v>
      </c>
      <c r="H7" s="357">
        <f t="shared" ref="H7:H8" si="3">(I7/F7-1)*9/12+(J7/G7-1)*3/12</f>
        <v>7.4699999999999989E-2</v>
      </c>
      <c r="I7" s="310">
        <v>1.5819584</v>
      </c>
      <c r="J7" s="310">
        <v>2.0161371999999997</v>
      </c>
      <c r="K7" s="357">
        <f t="shared" si="2"/>
        <v>0.15100000000000002</v>
      </c>
      <c r="L7" s="349">
        <f>I7*(1+'MSCOA - Tariff Structure'!$Q$2)</f>
        <v>1.8208341184000001</v>
      </c>
      <c r="M7" s="349">
        <f>J7*(1+'MSCOA - Tariff Structure'!$Q$2)</f>
        <v>2.3205739171999999</v>
      </c>
      <c r="N7" s="821">
        <f t="shared" ref="N7:N74" si="4">(O7/L7-1)*9/12+(P7/M7-1)*3/12</f>
        <v>0.12199999999999989</v>
      </c>
      <c r="O7" s="364">
        <f>L7*(1+'MSCOA - Tariff Structure'!$R$2)</f>
        <v>2.0429758808448</v>
      </c>
      <c r="P7" s="364">
        <f>M7*(1+'MSCOA - Tariff Structure'!$R$2)</f>
        <v>2.6036839350983998</v>
      </c>
      <c r="Q7" s="821">
        <f t="shared" ref="Q7:Q8" si="5">(R7/O7-1)*9/12+(S7/P7-1)*3/12</f>
        <v>0.12400000000000011</v>
      </c>
      <c r="R7" s="364">
        <f>O7*(1+'MSCOA - Tariff Structure'!$S$2)</f>
        <v>2.2963048900695555</v>
      </c>
      <c r="S7" s="364">
        <f>P7*(1+'MSCOA - Tariff Structure'!$S$2)</f>
        <v>2.9265407430506016</v>
      </c>
      <c r="T7" s="821">
        <f>(U7/R7-1)*9/12+(V7/S7-1)*3/12</f>
        <v>9.8999999999999977E-2</v>
      </c>
      <c r="U7" s="364">
        <f>R7*(1+'MSCOA - Tariff Structure'!$T$2)</f>
        <v>2.5236390741864416</v>
      </c>
      <c r="V7" s="364">
        <f>S7*(1+'MSCOA - Tariff Structure'!$T$2)</f>
        <v>3.2162682766126109</v>
      </c>
      <c r="W7" s="821">
        <f>(X7/U7-1)*9/12+(Y7/V7-1)*3/12</f>
        <v>7.1900000000000075E-2</v>
      </c>
      <c r="X7" s="364">
        <f>U7*(1+'MSCOA - Tariff Structure'!$U$2)</f>
        <v>2.7050887236204471</v>
      </c>
      <c r="Y7" s="364">
        <f>V7*(1+'MSCOA - Tariff Structure'!$U$2)</f>
        <v>3.4475179657010577</v>
      </c>
    </row>
    <row r="8" spans="1:30" x14ac:dyDescent="0.35">
      <c r="A8" s="358" t="s">
        <v>1477</v>
      </c>
      <c r="B8" s="356"/>
      <c r="C8" s="680">
        <v>1.7528999999999999</v>
      </c>
      <c r="D8" s="791">
        <v>1.9420999999999999</v>
      </c>
      <c r="E8" s="357">
        <f t="shared" si="0"/>
        <v>0.14591545779144155</v>
      </c>
      <c r="F8" s="680">
        <v>2.0087000000000002</v>
      </c>
      <c r="G8" s="680">
        <v>2.2254</v>
      </c>
      <c r="H8" s="357">
        <f t="shared" si="3"/>
        <v>7.4699999999999989E-2</v>
      </c>
      <c r="I8" s="310">
        <v>2.1587498900000002</v>
      </c>
      <c r="J8" s="310">
        <v>2.3916373800000001</v>
      </c>
      <c r="K8" s="357">
        <f t="shared" si="2"/>
        <v>0.15100000000000002</v>
      </c>
      <c r="L8" s="349">
        <f>I8*(1+'MSCOA - Tariff Structure'!$Q$2)</f>
        <v>2.4847211233900004</v>
      </c>
      <c r="M8" s="349">
        <f>J8*(1+'MSCOA - Tariff Structure'!$Q$2)</f>
        <v>2.7527746243800002</v>
      </c>
      <c r="N8" s="821">
        <f t="shared" si="4"/>
        <v>0.12199999999999989</v>
      </c>
      <c r="O8" s="364">
        <f>L8*(1+'MSCOA - Tariff Structure'!$R$2)</f>
        <v>2.7878571004435804</v>
      </c>
      <c r="P8" s="364">
        <f>M8*(1+'MSCOA - Tariff Structure'!$R$2)</f>
        <v>3.0886131285543601</v>
      </c>
      <c r="Q8" s="821">
        <f t="shared" si="5"/>
        <v>0.12400000000000011</v>
      </c>
      <c r="R8" s="364">
        <f>O8*(1+'MSCOA - Tariff Structure'!$S$2)</f>
        <v>3.1335513808985844</v>
      </c>
      <c r="S8" s="364">
        <f>P8*(1+'MSCOA - Tariff Structure'!$S$2)</f>
        <v>3.471601156495101</v>
      </c>
      <c r="T8" s="821">
        <f>(U8/R8-1)*9/12+(V8/S8-1)*3/12</f>
        <v>9.8999999999999977E-2</v>
      </c>
      <c r="U8" s="364">
        <f>R8*(1+'MSCOA - Tariff Structure'!$T$2)</f>
        <v>3.4437729676075444</v>
      </c>
      <c r="V8" s="364">
        <f>S8*(1+'MSCOA - Tariff Structure'!$T$2)</f>
        <v>3.8152896709881161</v>
      </c>
      <c r="W8" s="821">
        <f>(X8/U8-1)*9/12+(Y8/V8-1)*3/12</f>
        <v>7.1900000000000075E-2</v>
      </c>
      <c r="X8" s="364">
        <f>U8*(1+'MSCOA - Tariff Structure'!$U$2)</f>
        <v>3.6913802439785273</v>
      </c>
      <c r="Y8" s="364">
        <f>V8*(1+'MSCOA - Tariff Structure'!$U$2)</f>
        <v>4.089608998332162</v>
      </c>
    </row>
    <row r="9" spans="1:30" x14ac:dyDescent="0.35">
      <c r="A9" s="352"/>
      <c r="B9" s="352" t="s">
        <v>1344</v>
      </c>
      <c r="C9" s="679">
        <f>SUM(C6:C7)</f>
        <v>2.4916</v>
      </c>
      <c r="D9" s="789">
        <f>SUM(D6:D7)</f>
        <v>3.1703000000000001</v>
      </c>
      <c r="E9" s="317">
        <f>AVERAGE(E6:E8)</f>
        <v>0.1459031106660395</v>
      </c>
      <c r="F9" s="679"/>
      <c r="G9" s="679"/>
      <c r="H9" s="355">
        <f>AVERAGE(H6:H7)</f>
        <v>7.4699999999999989E-2</v>
      </c>
      <c r="I9" s="686"/>
      <c r="J9" s="686"/>
      <c r="K9" s="355">
        <f>AVERAGE(K6:K7)</f>
        <v>0.15100000000000002</v>
      </c>
      <c r="L9" s="689"/>
      <c r="M9" s="689"/>
      <c r="N9" s="355">
        <f>AVERAGE(N6:N7)</f>
        <v>0.12199999999999989</v>
      </c>
      <c r="O9" s="807"/>
      <c r="P9" s="807"/>
      <c r="Q9" s="355">
        <f>AVERAGE(Q6:Q7)</f>
        <v>0.12400000000000011</v>
      </c>
      <c r="R9" s="807"/>
      <c r="S9" s="807"/>
      <c r="T9" s="844">
        <f>AVERAGE(T6:T7)</f>
        <v>9.8999999999999977E-2</v>
      </c>
      <c r="U9" s="807"/>
      <c r="V9" s="807"/>
      <c r="W9" s="844">
        <f>AVERAGE(W6:W7)</f>
        <v>7.1900000000000075E-2</v>
      </c>
      <c r="X9" s="807"/>
      <c r="Y9" s="807"/>
    </row>
    <row r="10" spans="1:30" x14ac:dyDescent="0.35">
      <c r="A10" s="356"/>
      <c r="B10" s="356"/>
      <c r="C10" s="681"/>
      <c r="D10" s="792">
        <f>(C9+D9)/2</f>
        <v>2.8309500000000001</v>
      </c>
      <c r="E10" s="356"/>
      <c r="F10" s="681"/>
      <c r="G10" s="681"/>
      <c r="H10" s="353"/>
      <c r="I10" s="687"/>
      <c r="J10" s="687"/>
      <c r="K10" s="357"/>
      <c r="L10" s="687"/>
      <c r="M10" s="687"/>
      <c r="N10" s="248"/>
      <c r="Q10" s="248"/>
      <c r="T10" s="248"/>
      <c r="W10" s="248"/>
    </row>
    <row r="11" spans="1:30" ht="15" customHeight="1" x14ac:dyDescent="0.35">
      <c r="A11" s="352" t="s">
        <v>1345</v>
      </c>
      <c r="B11" s="352"/>
      <c r="C11" s="1161" t="str">
        <f>+$C$4</f>
        <v>2020/2021</v>
      </c>
      <c r="D11" s="1162"/>
      <c r="E11" s="1154" t="s">
        <v>1623</v>
      </c>
      <c r="F11" s="1158" t="str">
        <f>+F4</f>
        <v>2021/2022</v>
      </c>
      <c r="G11" s="1159"/>
      <c r="H11" s="1154" t="str">
        <f>H4</f>
        <v>% Increase (for 22/23)</v>
      </c>
      <c r="I11" s="1158" t="str">
        <f>I4</f>
        <v>2022/2023</v>
      </c>
      <c r="J11" s="1159"/>
      <c r="K11" s="1154" t="str">
        <f>K4</f>
        <v>% Increase (for 2023/24)</v>
      </c>
      <c r="L11" s="1158" t="str">
        <f>L4</f>
        <v>2023/2024</v>
      </c>
      <c r="M11" s="1159"/>
      <c r="N11" s="1154" t="str">
        <f>$N$4</f>
        <v>% Increase (for 2024/25)</v>
      </c>
      <c r="O11" s="1158" t="str">
        <f>O4</f>
        <v>2024/2025</v>
      </c>
      <c r="P11" s="1159"/>
      <c r="Q11" s="1154" t="str">
        <f>$Q$4</f>
        <v>% Increase (for 2025/26)</v>
      </c>
      <c r="R11" s="1158" t="str">
        <f>R4</f>
        <v>2025/2026</v>
      </c>
      <c r="S11" s="1159"/>
      <c r="T11" s="1152" t="str">
        <f>$T$4</f>
        <v>% Increase (for 2026/27)</v>
      </c>
      <c r="U11" s="1153" t="str">
        <f>U4</f>
        <v>2026/2027</v>
      </c>
      <c r="V11" s="1153"/>
      <c r="W11" s="1152" t="str">
        <f>$W$4</f>
        <v>% Increase (for 2027/28)</v>
      </c>
      <c r="X11" s="1153" t="str">
        <f>X4</f>
        <v>2027/2028</v>
      </c>
      <c r="Y11" s="1153"/>
    </row>
    <row r="12" spans="1:30" x14ac:dyDescent="0.35">
      <c r="A12" s="352"/>
      <c r="B12" s="352"/>
      <c r="C12" s="679" t="s">
        <v>249</v>
      </c>
      <c r="D12" s="789" t="s">
        <v>250</v>
      </c>
      <c r="E12" s="1154"/>
      <c r="F12" s="679" t="s">
        <v>249</v>
      </c>
      <c r="G12" s="679" t="s">
        <v>250</v>
      </c>
      <c r="H12" s="1154"/>
      <c r="I12" s="686" t="s">
        <v>249</v>
      </c>
      <c r="J12" s="686" t="s">
        <v>250</v>
      </c>
      <c r="K12" s="1154"/>
      <c r="L12" s="686" t="s">
        <v>249</v>
      </c>
      <c r="M12" s="686" t="s">
        <v>250</v>
      </c>
      <c r="N12" s="1154"/>
      <c r="O12" s="686" t="s">
        <v>249</v>
      </c>
      <c r="P12" s="686" t="s">
        <v>250</v>
      </c>
      <c r="Q12" s="1154"/>
      <c r="R12" s="686" t="s">
        <v>249</v>
      </c>
      <c r="S12" s="686" t="s">
        <v>250</v>
      </c>
      <c r="T12" s="1152"/>
      <c r="U12" s="843" t="s">
        <v>249</v>
      </c>
      <c r="V12" s="843" t="s">
        <v>250</v>
      </c>
      <c r="W12" s="1152"/>
      <c r="X12" s="843" t="s">
        <v>249</v>
      </c>
      <c r="Y12" s="843" t="s">
        <v>250</v>
      </c>
    </row>
    <row r="13" spans="1:30" x14ac:dyDescent="0.35">
      <c r="A13" s="354"/>
      <c r="B13" s="1136" t="s">
        <v>255</v>
      </c>
      <c r="C13" s="37"/>
      <c r="D13" s="793"/>
      <c r="E13" s="357"/>
      <c r="F13" s="682"/>
      <c r="G13" s="682"/>
      <c r="H13" s="357"/>
      <c r="I13" s="310"/>
      <c r="J13" s="310"/>
      <c r="K13" s="357"/>
      <c r="L13" s="310"/>
      <c r="M13" s="310"/>
      <c r="N13" s="821"/>
      <c r="O13" s="364"/>
      <c r="P13" s="364"/>
      <c r="Q13" s="821"/>
      <c r="R13" s="245"/>
      <c r="S13" s="245"/>
      <c r="T13" s="821"/>
      <c r="U13" s="346">
        <v>50</v>
      </c>
      <c r="V13" s="346">
        <f>U13</f>
        <v>50</v>
      </c>
      <c r="W13" s="471">
        <f>(X13/U13-1)*9/12+(Y13/V13-1)*3/12</f>
        <v>7.1900000000000075E-2</v>
      </c>
      <c r="X13" s="346">
        <v>53.594999999999999</v>
      </c>
      <c r="Y13" s="346">
        <f>X13</f>
        <v>53.594999999999999</v>
      </c>
    </row>
    <row r="14" spans="1:30" x14ac:dyDescent="0.35">
      <c r="A14" s="358" t="s">
        <v>1346</v>
      </c>
      <c r="B14" s="358" t="s">
        <v>251</v>
      </c>
      <c r="C14" s="37">
        <v>1.5479000000000001</v>
      </c>
      <c r="D14" s="793">
        <v>1.9137</v>
      </c>
      <c r="E14" s="357">
        <f t="shared" ref="E14:E15" si="6">(F14/C14-1)*9/12+(G14/D14-1)*3/12</f>
        <v>0.1458801388715637</v>
      </c>
      <c r="F14" s="682">
        <v>1.7737000000000001</v>
      </c>
      <c r="G14" s="682">
        <v>2.1928999999999998</v>
      </c>
      <c r="H14" s="357">
        <f t="shared" ref="H14:H15" si="7">(I14/F14-1)*9/12+(J14/G14-1)*3/12</f>
        <v>7.4699999999999989E-2</v>
      </c>
      <c r="I14" s="310">
        <v>1.9061953900000002</v>
      </c>
      <c r="J14" s="310">
        <v>2.3567096299999997</v>
      </c>
      <c r="K14" s="357">
        <f t="shared" ref="K14:K15" si="8">(L14/I14-1)*9/12+(M14/J14-1)*3/12</f>
        <v>0.15100000000000002</v>
      </c>
      <c r="L14" s="310">
        <f>I14*(1+'MSCOA - Tariff Structure'!$Q$2)</f>
        <v>2.1940308938900004</v>
      </c>
      <c r="M14" s="310">
        <f>J14*(1+'MSCOA - Tariff Structure'!$Q$2)</f>
        <v>2.7125727841299998</v>
      </c>
      <c r="N14" s="821">
        <f t="shared" si="4"/>
        <v>0.12199999999999989</v>
      </c>
      <c r="O14" s="364">
        <f>L14*(1+'MSCOA - Tariff Structure'!$R$2)</f>
        <v>2.4617026629445804</v>
      </c>
      <c r="P14" s="364">
        <f>M14*(1+'MSCOA - Tariff Structure'!$R$2)</f>
        <v>3.0435066637938593</v>
      </c>
      <c r="Q14" s="821">
        <f t="shared" ref="Q14:Q15" si="9">(R14/O14-1)*9/12+(S14/P14-1)*3/12</f>
        <v>0.12400000000000011</v>
      </c>
      <c r="R14" s="364">
        <f>O14*(1+'MSCOA - Tariff Structure'!$S$2)</f>
        <v>2.7669537931497086</v>
      </c>
      <c r="S14" s="364">
        <f>P14*(1+'MSCOA - Tariff Structure'!$S$2)</f>
        <v>3.4209014901042982</v>
      </c>
      <c r="T14" s="821">
        <f>(U14/R14-1)*9/12+(V14/S14-1)*3/12</f>
        <v>9.8999999999999977E-2</v>
      </c>
      <c r="U14" s="364">
        <f>R14*(1+'MSCOA - Tariff Structure'!$T$2)</f>
        <v>3.0408822186715296</v>
      </c>
      <c r="V14" s="364">
        <f>S14*(1+'MSCOA - Tariff Structure'!$T$2)</f>
        <v>3.7595707376246237</v>
      </c>
      <c r="W14" s="821">
        <f>(X14/U14-1)*9/12+(Y14/V14-1)*3/12</f>
        <v>7.1900000000000075E-2</v>
      </c>
      <c r="X14" s="364">
        <f>U14*(1+'MSCOA - Tariff Structure'!$U$2)</f>
        <v>3.2595216501940127</v>
      </c>
      <c r="Y14" s="364">
        <f>V14*(1+'MSCOA - Tariff Structure'!$U$2)</f>
        <v>4.0298838736598341</v>
      </c>
    </row>
    <row r="15" spans="1:30" x14ac:dyDescent="0.35">
      <c r="A15" s="358" t="s">
        <v>252</v>
      </c>
      <c r="B15" s="358" t="s">
        <v>1347</v>
      </c>
      <c r="C15" s="37">
        <v>1.7870999999999999</v>
      </c>
      <c r="D15" s="793">
        <v>2.3218999999999999</v>
      </c>
      <c r="E15" s="357">
        <f t="shared" si="6"/>
        <v>0.14588784439422137</v>
      </c>
      <c r="F15" s="682">
        <v>2.0478000000000001</v>
      </c>
      <c r="G15" s="682">
        <v>2.6606999999999998</v>
      </c>
      <c r="H15" s="357">
        <f t="shared" si="7"/>
        <v>7.4699999999999989E-2</v>
      </c>
      <c r="I15" s="310">
        <v>2.2007706599999999</v>
      </c>
      <c r="J15" s="310">
        <v>2.85945429</v>
      </c>
      <c r="K15" s="357">
        <f t="shared" si="8"/>
        <v>0.15100000000000002</v>
      </c>
      <c r="L15" s="310">
        <f>I15*(1+'MSCOA - Tariff Structure'!$Q$2)</f>
        <v>2.5330870296599999</v>
      </c>
      <c r="M15" s="310">
        <f>J15*(1+'MSCOA - Tariff Structure'!$Q$2)</f>
        <v>3.29123188779</v>
      </c>
      <c r="N15" s="821">
        <f t="shared" si="4"/>
        <v>0.12199999999999989</v>
      </c>
      <c r="O15" s="364">
        <f>L15*(1+'MSCOA - Tariff Structure'!$R$2)</f>
        <v>2.8421236472785196</v>
      </c>
      <c r="P15" s="364">
        <f>M15*(1+'MSCOA - Tariff Structure'!$R$2)</f>
        <v>3.6927621781003794</v>
      </c>
      <c r="Q15" s="821">
        <f t="shared" si="9"/>
        <v>0.12400000000000011</v>
      </c>
      <c r="R15" s="364">
        <f>O15*(1+'MSCOA - Tariff Structure'!$S$2)</f>
        <v>3.1945469795410562</v>
      </c>
      <c r="S15" s="364">
        <f>P15*(1+'MSCOA - Tariff Structure'!$S$2)</f>
        <v>4.1506646881848273</v>
      </c>
      <c r="T15" s="821">
        <f>(U15/R15-1)*9/12+(V15/S15-1)*3/12</f>
        <v>9.8999999999999977E-2</v>
      </c>
      <c r="U15" s="364">
        <f>R15*(1+'MSCOA - Tariff Structure'!$T$2)</f>
        <v>3.5108071305156208</v>
      </c>
      <c r="V15" s="364">
        <f>S15*(1+'MSCOA - Tariff Structure'!$T$2)</f>
        <v>4.5615804923151249</v>
      </c>
      <c r="W15" s="821">
        <f>(X15/U15-1)*9/12+(Y15/V15-1)*3/12</f>
        <v>7.1900000000000075E-2</v>
      </c>
      <c r="X15" s="364">
        <f>U15*(1+'MSCOA - Tariff Structure'!$U$2)</f>
        <v>3.7632341631996939</v>
      </c>
      <c r="Y15" s="364">
        <f>V15*(1+'MSCOA - Tariff Structure'!$U$2)</f>
        <v>4.889558129712583</v>
      </c>
    </row>
    <row r="16" spans="1:30" x14ac:dyDescent="0.35">
      <c r="A16" s="352"/>
      <c r="B16" s="352" t="s">
        <v>1348</v>
      </c>
      <c r="C16" s="679"/>
      <c r="D16" s="789"/>
      <c r="E16" s="317">
        <f>AVERAGE(E14:E15)</f>
        <v>0.14588399163289253</v>
      </c>
      <c r="F16" s="679"/>
      <c r="G16" s="679"/>
      <c r="H16" s="543">
        <f>AVERAGE(H14:H15)</f>
        <v>7.4699999999999989E-2</v>
      </c>
      <c r="I16" s="686"/>
      <c r="J16" s="686"/>
      <c r="K16" s="355">
        <f>AVERAGE(K14:K15)</f>
        <v>0.15100000000000002</v>
      </c>
      <c r="L16" s="686"/>
      <c r="M16" s="686"/>
      <c r="N16" s="355">
        <f>AVERAGE(N14:N15)</f>
        <v>0.12199999999999989</v>
      </c>
      <c r="O16" s="807"/>
      <c r="P16" s="807"/>
      <c r="Q16" s="355">
        <f>AVERAGE(Q14:Q15)</f>
        <v>0.12400000000000011</v>
      </c>
      <c r="R16" s="807"/>
      <c r="S16" s="807"/>
      <c r="T16" s="844">
        <f>AVERAGE(T14:T15)</f>
        <v>9.8999999999999977E-2</v>
      </c>
      <c r="U16" s="807"/>
      <c r="V16" s="807"/>
      <c r="W16" s="844">
        <f>AVERAGE(W14:W15)</f>
        <v>7.1900000000000075E-2</v>
      </c>
      <c r="X16" s="807"/>
      <c r="Y16" s="807"/>
    </row>
    <row r="17" spans="1:25" x14ac:dyDescent="0.35">
      <c r="A17" s="356"/>
      <c r="B17" s="356"/>
      <c r="C17" s="681"/>
      <c r="D17" s="792"/>
      <c r="E17" s="356"/>
      <c r="F17" s="681"/>
      <c r="G17" s="681"/>
      <c r="H17" s="357"/>
      <c r="I17" s="37"/>
      <c r="J17" s="37"/>
      <c r="K17" s="357"/>
      <c r="L17" s="37"/>
      <c r="M17" s="37"/>
      <c r="N17" s="248"/>
      <c r="Q17" s="248"/>
      <c r="T17" s="248"/>
      <c r="W17" s="248"/>
    </row>
    <row r="18" spans="1:25" ht="15" customHeight="1" x14ac:dyDescent="0.35">
      <c r="A18" s="352" t="s">
        <v>1349</v>
      </c>
      <c r="B18" s="352"/>
      <c r="C18" s="1161" t="str">
        <f>+$C$4</f>
        <v>2020/2021</v>
      </c>
      <c r="D18" s="1162"/>
      <c r="E18" s="1154" t="str">
        <f>+$E$4</f>
        <v>% Increase (for 21/22)</v>
      </c>
      <c r="F18" s="1158" t="str">
        <f>+F11</f>
        <v>2021/2022</v>
      </c>
      <c r="G18" s="1159"/>
      <c r="H18" s="1154" t="str">
        <f>H11</f>
        <v>% Increase (for 22/23)</v>
      </c>
      <c r="I18" s="1158" t="str">
        <f>I11</f>
        <v>2022/2023</v>
      </c>
      <c r="J18" s="1159"/>
      <c r="K18" s="1154" t="str">
        <f>K11</f>
        <v>% Increase (for 2023/24)</v>
      </c>
      <c r="L18" s="1158" t="str">
        <f>L11</f>
        <v>2023/2024</v>
      </c>
      <c r="M18" s="1159"/>
      <c r="N18" s="1154" t="str">
        <f>$N$4</f>
        <v>% Increase (for 2024/25)</v>
      </c>
      <c r="O18" s="1158" t="str">
        <f>O11</f>
        <v>2024/2025</v>
      </c>
      <c r="P18" s="1159"/>
      <c r="Q18" s="1154" t="str">
        <f>$Q$4</f>
        <v>% Increase (for 2025/26)</v>
      </c>
      <c r="R18" s="1158" t="str">
        <f>R11</f>
        <v>2025/2026</v>
      </c>
      <c r="S18" s="1159"/>
      <c r="T18" s="1152" t="str">
        <f>$T$4</f>
        <v>% Increase (for 2026/27)</v>
      </c>
      <c r="U18" s="1153" t="str">
        <f>U11</f>
        <v>2026/2027</v>
      </c>
      <c r="V18" s="1153"/>
      <c r="W18" s="1152" t="str">
        <f>$W$4</f>
        <v>% Increase (for 2027/28)</v>
      </c>
      <c r="X18" s="1153" t="str">
        <f>X11</f>
        <v>2027/2028</v>
      </c>
      <c r="Y18" s="1153"/>
    </row>
    <row r="19" spans="1:25" x14ac:dyDescent="0.35">
      <c r="A19" s="352"/>
      <c r="B19" s="352"/>
      <c r="C19" s="679" t="s">
        <v>249</v>
      </c>
      <c r="D19" s="789" t="s">
        <v>250</v>
      </c>
      <c r="E19" s="1154"/>
      <c r="F19" s="679" t="s">
        <v>249</v>
      </c>
      <c r="G19" s="679" t="s">
        <v>250</v>
      </c>
      <c r="H19" s="1154"/>
      <c r="I19" s="686" t="s">
        <v>249</v>
      </c>
      <c r="J19" s="686" t="s">
        <v>250</v>
      </c>
      <c r="K19" s="1154"/>
      <c r="L19" s="686" t="s">
        <v>249</v>
      </c>
      <c r="M19" s="686" t="s">
        <v>250</v>
      </c>
      <c r="N19" s="1154"/>
      <c r="O19" s="686" t="s">
        <v>249</v>
      </c>
      <c r="P19" s="686" t="s">
        <v>250</v>
      </c>
      <c r="Q19" s="1154"/>
      <c r="R19" s="686" t="s">
        <v>249</v>
      </c>
      <c r="S19" s="686" t="s">
        <v>250</v>
      </c>
      <c r="T19" s="1152"/>
      <c r="U19" s="843" t="s">
        <v>249</v>
      </c>
      <c r="V19" s="843" t="s">
        <v>250</v>
      </c>
      <c r="W19" s="1152"/>
      <c r="X19" s="843" t="s">
        <v>249</v>
      </c>
      <c r="Y19" s="843" t="s">
        <v>250</v>
      </c>
    </row>
    <row r="20" spans="1:25" x14ac:dyDescent="0.35">
      <c r="A20" s="354"/>
      <c r="B20" s="1136" t="s">
        <v>255</v>
      </c>
      <c r="C20" s="37"/>
      <c r="D20" s="793"/>
      <c r="E20" s="357"/>
      <c r="F20" s="682"/>
      <c r="G20" s="682"/>
      <c r="H20" s="357"/>
      <c r="I20" s="310"/>
      <c r="J20" s="310"/>
      <c r="K20" s="357"/>
      <c r="L20" s="310"/>
      <c r="M20" s="310"/>
      <c r="N20" s="821"/>
      <c r="O20" s="364"/>
      <c r="P20" s="364"/>
      <c r="Q20" s="821"/>
      <c r="R20" s="245"/>
      <c r="S20" s="245"/>
      <c r="T20" s="821"/>
      <c r="U20" s="346">
        <f>U13</f>
        <v>50</v>
      </c>
      <c r="V20" s="346">
        <f>U20</f>
        <v>50</v>
      </c>
      <c r="W20" s="471">
        <f>(X20/U20-1)*9/12+(Y20/V20-1)*3/12</f>
        <v>7.1900000000000075E-2</v>
      </c>
      <c r="X20" s="346">
        <f>X13</f>
        <v>53.594999999999999</v>
      </c>
      <c r="Y20" s="346">
        <f>X20</f>
        <v>53.594999999999999</v>
      </c>
    </row>
    <row r="21" spans="1:25" x14ac:dyDescent="0.35">
      <c r="A21" s="354" t="s">
        <v>252</v>
      </c>
      <c r="B21" s="358" t="s">
        <v>251</v>
      </c>
      <c r="C21" s="37">
        <v>1.5479000000000001</v>
      </c>
      <c r="D21" s="793">
        <v>1.9137</v>
      </c>
      <c r="E21" s="357">
        <f t="shared" ref="E21:E22" si="10">(F21/C21-1)*9/12+(G21/D21-1)*3/12</f>
        <v>0.1458801388715637</v>
      </c>
      <c r="F21" s="682">
        <v>1.7737000000000001</v>
      </c>
      <c r="G21" s="682">
        <v>2.1928999999999998</v>
      </c>
      <c r="H21" s="357">
        <f t="shared" ref="H21:H22" si="11">(I21/F21-1)*9/12+(J21/G21-1)*3/12</f>
        <v>7.4699999999999989E-2</v>
      </c>
      <c r="I21" s="310">
        <v>1.9061953900000002</v>
      </c>
      <c r="J21" s="310">
        <v>2.3567096299999997</v>
      </c>
      <c r="K21" s="357">
        <f t="shared" ref="K21:K22" si="12">(L21/I21-1)*9/12+(M21/J21-1)*3/12</f>
        <v>0.15100000000000002</v>
      </c>
      <c r="L21" s="310">
        <f>I21*(1+'MSCOA - Tariff Structure'!$Q$2)</f>
        <v>2.1940308938900004</v>
      </c>
      <c r="M21" s="310">
        <f>J21*(1+'MSCOA - Tariff Structure'!$Q$2)</f>
        <v>2.7125727841299998</v>
      </c>
      <c r="N21" s="821">
        <f t="shared" si="4"/>
        <v>0.12199999999999989</v>
      </c>
      <c r="O21" s="364">
        <f>L21*(1+'MSCOA - Tariff Structure'!$R$2)</f>
        <v>2.4617026629445804</v>
      </c>
      <c r="P21" s="364">
        <f>M21*(1+'MSCOA - Tariff Structure'!$R$2)</f>
        <v>3.0435066637938593</v>
      </c>
      <c r="Q21" s="821">
        <f t="shared" ref="Q21:Q22" si="13">(R21/O21-1)*9/12+(S21/P21-1)*3/12</f>
        <v>0.12400000000000011</v>
      </c>
      <c r="R21" s="245">
        <f>O21*(1+'MSCOA - Tariff Structure'!$S$2)</f>
        <v>2.7669537931497086</v>
      </c>
      <c r="S21" s="245">
        <f>P21*(1+'MSCOA - Tariff Structure'!$S$2)</f>
        <v>3.4209014901042982</v>
      </c>
      <c r="T21" s="821">
        <f>(U21/R21-1)*9/12+(V21/S21-1)*3/12</f>
        <v>9.8999999999999977E-2</v>
      </c>
      <c r="U21" s="245">
        <f>R21*(1+'MSCOA - Tariff Structure'!$T$2)</f>
        <v>3.0408822186715296</v>
      </c>
      <c r="V21" s="245">
        <f>S21*(1+'MSCOA - Tariff Structure'!$T$2)</f>
        <v>3.7595707376246237</v>
      </c>
      <c r="W21" s="821">
        <f>(X21/U21-1)*9/12+(Y21/V21-1)*3/12</f>
        <v>7.1900000000000075E-2</v>
      </c>
      <c r="X21" s="364">
        <f>U21*(1+'MSCOA - Tariff Structure'!$U$2)</f>
        <v>3.2595216501940127</v>
      </c>
      <c r="Y21" s="364">
        <f>V21*(1+'MSCOA - Tariff Structure'!$U$2)</f>
        <v>4.0298838736598341</v>
      </c>
    </row>
    <row r="22" spans="1:25" x14ac:dyDescent="0.35">
      <c r="A22" s="354" t="s">
        <v>252</v>
      </c>
      <c r="B22" s="358" t="s">
        <v>1347</v>
      </c>
      <c r="C22" s="37">
        <v>1.7870999999999999</v>
      </c>
      <c r="D22" s="793">
        <v>2.3218999999999999</v>
      </c>
      <c r="E22" s="357">
        <f t="shared" si="10"/>
        <v>0.14588784439422137</v>
      </c>
      <c r="F22" s="682">
        <v>2.0478000000000001</v>
      </c>
      <c r="G22" s="682">
        <v>2.6606999999999998</v>
      </c>
      <c r="H22" s="357">
        <f t="shared" si="11"/>
        <v>7.4699999999999989E-2</v>
      </c>
      <c r="I22" s="310">
        <v>2.2007706599999999</v>
      </c>
      <c r="J22" s="310">
        <v>2.85945429</v>
      </c>
      <c r="K22" s="357">
        <f t="shared" si="12"/>
        <v>0.15100000000000002</v>
      </c>
      <c r="L22" s="310">
        <f>I22*(1+'MSCOA - Tariff Structure'!$Q$2)</f>
        <v>2.5330870296599999</v>
      </c>
      <c r="M22" s="310">
        <f>J22*(1+'MSCOA - Tariff Structure'!$Q$2)</f>
        <v>3.29123188779</v>
      </c>
      <c r="N22" s="821">
        <f t="shared" si="4"/>
        <v>0.12199999999999989</v>
      </c>
      <c r="O22" s="364">
        <f>L22*(1+'MSCOA - Tariff Structure'!$R$2)</f>
        <v>2.8421236472785196</v>
      </c>
      <c r="P22" s="364">
        <f>M22*(1+'MSCOA - Tariff Structure'!$R$2)</f>
        <v>3.6927621781003794</v>
      </c>
      <c r="Q22" s="821">
        <f t="shared" si="13"/>
        <v>0.12400000000000011</v>
      </c>
      <c r="R22" s="245">
        <f>O22*(1+'MSCOA - Tariff Structure'!$S$2)</f>
        <v>3.1945469795410562</v>
      </c>
      <c r="S22" s="245">
        <f>P22*(1+'MSCOA - Tariff Structure'!$S$2)</f>
        <v>4.1506646881848273</v>
      </c>
      <c r="T22" s="821">
        <f>(U22/R22-1)*9/12+(V22/S22-1)*3/12</f>
        <v>9.8999999999999977E-2</v>
      </c>
      <c r="U22" s="245">
        <f>R22*(1+'MSCOA - Tariff Structure'!$T$2)</f>
        <v>3.5108071305156208</v>
      </c>
      <c r="V22" s="245">
        <f>S22*(1+'MSCOA - Tariff Structure'!$T$2)</f>
        <v>4.5615804923151249</v>
      </c>
      <c r="W22" s="821">
        <f>(X22/U22-1)*9/12+(Y22/V22-1)*3/12</f>
        <v>7.1900000000000075E-2</v>
      </c>
      <c r="X22" s="364">
        <f>U22*(1+'MSCOA - Tariff Structure'!$U$2)</f>
        <v>3.7632341631996939</v>
      </c>
      <c r="Y22" s="364">
        <f>V22*(1+'MSCOA - Tariff Structure'!$U$2)</f>
        <v>4.889558129712583</v>
      </c>
    </row>
    <row r="23" spans="1:25" x14ac:dyDescent="0.35">
      <c r="A23" s="352"/>
      <c r="B23" s="352" t="s">
        <v>1344</v>
      </c>
      <c r="C23" s="679"/>
      <c r="D23" s="789"/>
      <c r="E23" s="317">
        <f>AVERAGE(E21:E22)</f>
        <v>0.14588399163289253</v>
      </c>
      <c r="F23" s="679"/>
      <c r="G23" s="679"/>
      <c r="H23" s="543">
        <f>AVERAGE(H21:H22)</f>
        <v>7.4699999999999989E-2</v>
      </c>
      <c r="I23" s="686"/>
      <c r="J23" s="686"/>
      <c r="K23" s="355">
        <f>AVERAGE(K21:K22)</f>
        <v>0.15100000000000002</v>
      </c>
      <c r="L23" s="686"/>
      <c r="M23" s="686"/>
      <c r="N23" s="355">
        <f>AVERAGE(N21:N22)</f>
        <v>0.12199999999999989</v>
      </c>
      <c r="O23" s="807"/>
      <c r="P23" s="807"/>
      <c r="Q23" s="355">
        <f>AVERAGE(Q21:Q22)</f>
        <v>0.12400000000000011</v>
      </c>
      <c r="R23" s="807"/>
      <c r="S23" s="807"/>
      <c r="T23" s="844">
        <f>AVERAGE(T21:T22)</f>
        <v>9.8999999999999977E-2</v>
      </c>
      <c r="U23" s="807"/>
      <c r="V23" s="807"/>
      <c r="W23" s="844">
        <f>AVERAGE(W21:W22)</f>
        <v>7.1900000000000075E-2</v>
      </c>
      <c r="X23" s="807"/>
      <c r="Y23" s="807"/>
    </row>
    <row r="24" spans="1:25" x14ac:dyDescent="0.35">
      <c r="A24" s="354"/>
      <c r="B24" s="354"/>
      <c r="C24" s="681"/>
      <c r="D24" s="792"/>
      <c r="E24" s="356"/>
      <c r="F24" s="681"/>
      <c r="G24" s="681"/>
      <c r="H24" s="357"/>
      <c r="I24" s="310"/>
      <c r="J24" s="37"/>
      <c r="K24" s="357"/>
      <c r="L24" s="37"/>
      <c r="M24" s="37"/>
      <c r="N24" s="248"/>
      <c r="Q24" s="248"/>
      <c r="T24" s="248"/>
      <c r="W24" s="248"/>
    </row>
    <row r="25" spans="1:25" ht="15" customHeight="1" x14ac:dyDescent="0.35">
      <c r="A25" s="352" t="s">
        <v>1624</v>
      </c>
      <c r="B25" s="352"/>
      <c r="C25" s="1161" t="str">
        <f>+$C$4</f>
        <v>2020/2021</v>
      </c>
      <c r="D25" s="1162"/>
      <c r="E25" s="1154" t="str">
        <f>+$E$4</f>
        <v>% Increase (for 21/22)</v>
      </c>
      <c r="F25" s="1158" t="str">
        <f>+F18</f>
        <v>2021/2022</v>
      </c>
      <c r="G25" s="1159"/>
      <c r="H25" s="1154" t="str">
        <f>H18</f>
        <v>% Increase (for 22/23)</v>
      </c>
      <c r="I25" s="1158" t="str">
        <f>I18</f>
        <v>2022/2023</v>
      </c>
      <c r="J25" s="1159"/>
      <c r="K25" s="1154" t="str">
        <f>K18</f>
        <v>% Increase (for 2023/24)</v>
      </c>
      <c r="L25" s="1158" t="str">
        <f>L18</f>
        <v>2023/2024</v>
      </c>
      <c r="M25" s="1159"/>
      <c r="N25" s="1154" t="str">
        <f>$N$4</f>
        <v>% Increase (for 2024/25)</v>
      </c>
      <c r="O25" s="1158" t="str">
        <f>O18</f>
        <v>2024/2025</v>
      </c>
      <c r="P25" s="1159"/>
      <c r="Q25" s="1154" t="str">
        <f>$Q$4</f>
        <v>% Increase (for 2025/26)</v>
      </c>
      <c r="R25" s="1158" t="str">
        <f>R18</f>
        <v>2025/2026</v>
      </c>
      <c r="S25" s="1159"/>
      <c r="T25" s="1152" t="str">
        <f>$T$4</f>
        <v>% Increase (for 2026/27)</v>
      </c>
      <c r="U25" s="1153" t="str">
        <f>U18</f>
        <v>2026/2027</v>
      </c>
      <c r="V25" s="1153"/>
      <c r="W25" s="1152" t="str">
        <f>$W$4</f>
        <v>% Increase (for 2027/28)</v>
      </c>
      <c r="X25" s="1153" t="str">
        <f>X18</f>
        <v>2027/2028</v>
      </c>
      <c r="Y25" s="1153"/>
    </row>
    <row r="26" spans="1:25" x14ac:dyDescent="0.35">
      <c r="A26" s="352"/>
      <c r="B26" s="352"/>
      <c r="C26" s="679" t="s">
        <v>249</v>
      </c>
      <c r="D26" s="789" t="s">
        <v>250</v>
      </c>
      <c r="E26" s="1154"/>
      <c r="F26" s="679" t="s">
        <v>249</v>
      </c>
      <c r="G26" s="679" t="s">
        <v>250</v>
      </c>
      <c r="H26" s="1154"/>
      <c r="I26" s="686" t="s">
        <v>249</v>
      </c>
      <c r="J26" s="686" t="s">
        <v>250</v>
      </c>
      <c r="K26" s="1154"/>
      <c r="L26" s="686" t="s">
        <v>249</v>
      </c>
      <c r="M26" s="686" t="s">
        <v>250</v>
      </c>
      <c r="N26" s="1154"/>
      <c r="O26" s="686" t="s">
        <v>249</v>
      </c>
      <c r="P26" s="686" t="s">
        <v>250</v>
      </c>
      <c r="Q26" s="1154"/>
      <c r="R26" s="686" t="s">
        <v>249</v>
      </c>
      <c r="S26" s="686" t="s">
        <v>250</v>
      </c>
      <c r="T26" s="1152"/>
      <c r="U26" s="843" t="s">
        <v>249</v>
      </c>
      <c r="V26" s="843" t="s">
        <v>250</v>
      </c>
      <c r="W26" s="1152"/>
      <c r="X26" s="843" t="s">
        <v>249</v>
      </c>
      <c r="Y26" s="843" t="s">
        <v>250</v>
      </c>
    </row>
    <row r="27" spans="1:25" x14ac:dyDescent="0.35">
      <c r="A27" s="356"/>
      <c r="B27" s="354" t="s">
        <v>1350</v>
      </c>
      <c r="C27" s="682">
        <v>165.59</v>
      </c>
      <c r="D27" s="794">
        <v>165.59</v>
      </c>
      <c r="E27" s="357">
        <f t="shared" ref="E27:E30" si="14">(F27/C27-1)*9/12+(G27/D27-1)*3/12</f>
        <v>0.14587173138474552</v>
      </c>
      <c r="F27" s="310">
        <v>189.7449</v>
      </c>
      <c r="G27" s="310">
        <v>189.7449</v>
      </c>
      <c r="H27" s="357">
        <f t="shared" ref="H27:H30" si="15">(I27/F27-1)*9/12+(J27/G27-1)*3/12</f>
        <v>7.4699999999999989E-2</v>
      </c>
      <c r="I27" s="310">
        <v>203.91884403</v>
      </c>
      <c r="J27" s="310">
        <v>203.91884403</v>
      </c>
      <c r="K27" s="357">
        <f t="shared" ref="K27:K30" si="16">(L27/I27-1)*9/12+(M27/J27-1)*3/12</f>
        <v>0.15100000000000002</v>
      </c>
      <c r="L27" s="310">
        <f>I27*(1+'MSCOA - Tariff Structure'!$Q$2)</f>
        <v>234.71058947853001</v>
      </c>
      <c r="M27" s="310">
        <f>J27*(1+'MSCOA - Tariff Structure'!$Q$2)</f>
        <v>234.71058947853001</v>
      </c>
      <c r="N27" s="821">
        <f t="shared" si="4"/>
        <v>0.12199999999999989</v>
      </c>
      <c r="O27" s="364">
        <f>L27*(1+'MSCOA - Tariff Structure'!$R$2)</f>
        <v>263.34528139491067</v>
      </c>
      <c r="P27" s="364">
        <f>M27*(1+'MSCOA - Tariff Structure'!$R$2)</f>
        <v>263.34528139491067</v>
      </c>
      <c r="Q27" s="821">
        <f t="shared" ref="Q27:Q30" si="17">(R27/O27-1)*9/12+(S27/P27-1)*3/12</f>
        <v>0.12400000000000011</v>
      </c>
      <c r="R27" s="245">
        <f>O27*(1+'MSCOA - Tariff Structure'!$S$2)</f>
        <v>296.00009628787961</v>
      </c>
      <c r="S27" s="245">
        <f>P27*(1+'MSCOA - Tariff Structure'!$S$2)</f>
        <v>296.00009628787961</v>
      </c>
      <c r="T27" s="821">
        <f>(U27/R27-1)*9/12+(V27/S27-1)*3/12</f>
        <v>9.8999999999999977E-2</v>
      </c>
      <c r="U27" s="245">
        <f>R27*(1+'MSCOA - Tariff Structure'!$T$2)</f>
        <v>325.30410582037968</v>
      </c>
      <c r="V27" s="245">
        <f>S27*(1+'MSCOA - Tariff Structure'!$T$2)</f>
        <v>325.30410582037968</v>
      </c>
      <c r="W27" s="821">
        <f>(X27/U27-1)*9/12+(Y27/V27-1)*3/12</f>
        <v>7.1900000000000075E-2</v>
      </c>
      <c r="X27" s="364">
        <f>U27*(1+'MSCOA - Tariff Structure'!$U$2)</f>
        <v>348.69347102886502</v>
      </c>
      <c r="Y27" s="364">
        <f>V27*(1+'MSCOA - Tariff Structure'!$U$2)</f>
        <v>348.69347102886502</v>
      </c>
    </row>
    <row r="28" spans="1:25" x14ac:dyDescent="0.35">
      <c r="A28" s="354" t="s">
        <v>1352</v>
      </c>
      <c r="B28" s="354" t="s">
        <v>1353</v>
      </c>
      <c r="C28" s="682">
        <v>2.1518999999999999</v>
      </c>
      <c r="D28" s="794">
        <v>3.9626999999999999</v>
      </c>
      <c r="E28" s="357">
        <f t="shared" si="14"/>
        <v>0.14587466329292315</v>
      </c>
      <c r="F28" s="310">
        <v>2.4658000000000002</v>
      </c>
      <c r="G28" s="310">
        <v>4.5407999999999999</v>
      </c>
      <c r="H28" s="357">
        <f t="shared" si="15"/>
        <v>7.4699999999999989E-2</v>
      </c>
      <c r="I28" s="310">
        <v>2.6499952600000003</v>
      </c>
      <c r="J28" s="310">
        <v>4.8799977600000002</v>
      </c>
      <c r="K28" s="357">
        <f t="shared" si="16"/>
        <v>0.15100000000000002</v>
      </c>
      <c r="L28" s="310">
        <f>I28*(1+'MSCOA - Tariff Structure'!$Q$2)</f>
        <v>3.0501445442600006</v>
      </c>
      <c r="M28" s="310">
        <f>J28*(1+'MSCOA - Tariff Structure'!$Q$2)</f>
        <v>5.6168774217599999</v>
      </c>
      <c r="N28" s="821">
        <f t="shared" si="4"/>
        <v>0.12199999999999989</v>
      </c>
      <c r="O28" s="364">
        <f>L28*(1+'MSCOA - Tariff Structure'!$R$2)</f>
        <v>3.4222621786597203</v>
      </c>
      <c r="P28" s="364">
        <f>M28*(1+'MSCOA - Tariff Structure'!$R$2)</f>
        <v>6.3021364672147193</v>
      </c>
      <c r="Q28" s="821">
        <f t="shared" si="17"/>
        <v>0.12400000000000011</v>
      </c>
      <c r="R28" s="245">
        <f>O28*(1+'MSCOA - Tariff Structure'!$S$2)</f>
        <v>3.8466226888135258</v>
      </c>
      <c r="S28" s="245">
        <f>P28*(1+'MSCOA - Tariff Structure'!$S$2)</f>
        <v>7.0836013891493455</v>
      </c>
      <c r="T28" s="821">
        <f>(U28/R28-1)*9/12+(V28/S28-1)*3/12</f>
        <v>9.8999999999999977E-2</v>
      </c>
      <c r="U28" s="245">
        <f>R28*(1+'MSCOA - Tariff Structure'!$T$2)</f>
        <v>4.2274383350060649</v>
      </c>
      <c r="V28" s="245">
        <f>S28*(1+'MSCOA - Tariff Structure'!$T$2)</f>
        <v>7.7848779266751302</v>
      </c>
      <c r="W28" s="821">
        <f>(X28/U28-1)*9/12+(Y28/V28-1)*3/12</f>
        <v>7.1900000000000075E-2</v>
      </c>
      <c r="X28" s="364">
        <f>U28*(1+'MSCOA - Tariff Structure'!$U$2)</f>
        <v>4.5313911512930014</v>
      </c>
      <c r="Y28" s="364">
        <f>V28*(1+'MSCOA - Tariff Structure'!$U$2)</f>
        <v>8.344610649603073</v>
      </c>
    </row>
    <row r="29" spans="1:25" x14ac:dyDescent="0.35">
      <c r="A29" s="354" t="s">
        <v>1354</v>
      </c>
      <c r="B29" s="354" t="s">
        <v>1355</v>
      </c>
      <c r="C29" s="682">
        <v>1.6138999999999999</v>
      </c>
      <c r="D29" s="794">
        <v>2.1781000000000001</v>
      </c>
      <c r="E29" s="357">
        <f t="shared" si="14"/>
        <v>0.14592808984390149</v>
      </c>
      <c r="F29" s="310">
        <v>1.8493999999999999</v>
      </c>
      <c r="G29" s="310">
        <v>2.496</v>
      </c>
      <c r="H29" s="357">
        <f t="shared" si="15"/>
        <v>7.4699999999999989E-2</v>
      </c>
      <c r="I29" s="310">
        <v>1.9875501799999999</v>
      </c>
      <c r="J29" s="310">
        <v>2.6824512</v>
      </c>
      <c r="K29" s="357">
        <f t="shared" si="16"/>
        <v>0.15100000000000002</v>
      </c>
      <c r="L29" s="310">
        <f>I29*(1+'MSCOA - Tariff Structure'!$Q$2)</f>
        <v>2.2876702571799998</v>
      </c>
      <c r="M29" s="310">
        <f>J29*(1+'MSCOA - Tariff Structure'!$Q$2)</f>
        <v>3.0875013311999999</v>
      </c>
      <c r="N29" s="821">
        <f t="shared" si="4"/>
        <v>0.12199999999999989</v>
      </c>
      <c r="O29" s="364">
        <f>L29*(1+'MSCOA - Tariff Structure'!$R$2)</f>
        <v>2.5667660285559597</v>
      </c>
      <c r="P29" s="364">
        <f>M29*(1+'MSCOA - Tariff Structure'!$R$2)</f>
        <v>3.4641764936063995</v>
      </c>
      <c r="Q29" s="821">
        <f t="shared" si="17"/>
        <v>0.12400000000000011</v>
      </c>
      <c r="R29" s="245">
        <f>O29*(1+'MSCOA - Tariff Structure'!$S$2)</f>
        <v>2.8850450160968988</v>
      </c>
      <c r="S29" s="245">
        <f>P29*(1+'MSCOA - Tariff Structure'!$S$2)</f>
        <v>3.8937343788135932</v>
      </c>
      <c r="T29" s="821">
        <f>(U29/R29-1)*9/12+(V29/S29-1)*3/12</f>
        <v>9.8999999999999977E-2</v>
      </c>
      <c r="U29" s="245">
        <f>R29*(1+'MSCOA - Tariff Structure'!$T$2)</f>
        <v>3.1706644726904916</v>
      </c>
      <c r="V29" s="245">
        <f>S29*(1+'MSCOA - Tariff Structure'!$T$2)</f>
        <v>4.2792140823161384</v>
      </c>
      <c r="W29" s="821">
        <f>(X29/U29-1)*9/12+(Y29/V29-1)*3/12</f>
        <v>7.1900000000000075E-2</v>
      </c>
      <c r="X29" s="364">
        <f>U29*(1+'MSCOA - Tariff Structure'!$U$2)</f>
        <v>3.3986352482769382</v>
      </c>
      <c r="Y29" s="364">
        <f>V29*(1+'MSCOA - Tariff Structure'!$U$2)</f>
        <v>4.586889574834669</v>
      </c>
    </row>
    <row r="30" spans="1:25" x14ac:dyDescent="0.35">
      <c r="A30" s="354" t="s">
        <v>1356</v>
      </c>
      <c r="B30" s="354" t="s">
        <v>1357</v>
      </c>
      <c r="C30" s="682">
        <v>1.3621000000000001</v>
      </c>
      <c r="D30" s="794">
        <v>2.0994000000000002</v>
      </c>
      <c r="E30" s="357">
        <f t="shared" si="14"/>
        <v>0.1458829737062487</v>
      </c>
      <c r="F30" s="310">
        <v>1.5608</v>
      </c>
      <c r="G30" s="310">
        <v>2.4056999999999999</v>
      </c>
      <c r="H30" s="357">
        <f t="shared" si="15"/>
        <v>7.4699999999999989E-2</v>
      </c>
      <c r="I30" s="310">
        <v>1.6773917599999999</v>
      </c>
      <c r="J30" s="310">
        <v>2.5854057899999998</v>
      </c>
      <c r="K30" s="357">
        <f t="shared" si="16"/>
        <v>0.15100000000000002</v>
      </c>
      <c r="L30" s="310">
        <f>I30*(1+'MSCOA - Tariff Structure'!$Q$2)</f>
        <v>1.93067791576</v>
      </c>
      <c r="M30" s="310">
        <f>J30*(1+'MSCOA - Tariff Structure'!$Q$2)</f>
        <v>2.9758020642899998</v>
      </c>
      <c r="N30" s="821">
        <f t="shared" si="4"/>
        <v>0.12199999999999989</v>
      </c>
      <c r="O30" s="364">
        <f>L30*(1+'MSCOA - Tariff Structure'!$R$2)</f>
        <v>2.16622062148272</v>
      </c>
      <c r="P30" s="364">
        <f>M30*(1+'MSCOA - Tariff Structure'!$R$2)</f>
        <v>3.3388499161333796</v>
      </c>
      <c r="Q30" s="821">
        <f t="shared" si="17"/>
        <v>0.12400000000000011</v>
      </c>
      <c r="R30" s="245">
        <f>O30*(1+'MSCOA - Tariff Structure'!$S$2)</f>
        <v>2.4348319785465775</v>
      </c>
      <c r="S30" s="245">
        <f>P30*(1+'MSCOA - Tariff Structure'!$S$2)</f>
        <v>3.7528673057339188</v>
      </c>
      <c r="T30" s="821">
        <f>(U30/R30-1)*9/12+(V30/S30-1)*3/12</f>
        <v>9.8999999999999977E-2</v>
      </c>
      <c r="U30" s="245">
        <f>R30*(1+'MSCOA - Tariff Structure'!$T$2)</f>
        <v>2.6758803444226889</v>
      </c>
      <c r="V30" s="245">
        <f>S30*(1+'MSCOA - Tariff Structure'!$T$2)</f>
        <v>4.1244011690015769</v>
      </c>
      <c r="W30" s="821">
        <f>(X30/U30-1)*9/12+(Y30/V30-1)*3/12</f>
        <v>7.1900000000000075E-2</v>
      </c>
      <c r="X30" s="364">
        <f>U30*(1+'MSCOA - Tariff Structure'!$U$2)</f>
        <v>2.8682761411866804</v>
      </c>
      <c r="Y30" s="364">
        <f>V30*(1+'MSCOA - Tariff Structure'!$U$2)</f>
        <v>4.4209456130527904</v>
      </c>
    </row>
    <row r="31" spans="1:25" x14ac:dyDescent="0.35">
      <c r="A31" s="352"/>
      <c r="B31" s="352" t="s">
        <v>1344</v>
      </c>
      <c r="C31" s="679"/>
      <c r="D31" s="789"/>
      <c r="E31" s="317">
        <f>AVERAGE(E27:E30)</f>
        <v>0.14588936455695473</v>
      </c>
      <c r="F31" s="679"/>
      <c r="G31" s="679"/>
      <c r="H31" s="543">
        <f>AVERAGE(H29:H30)</f>
        <v>7.4699999999999989E-2</v>
      </c>
      <c r="I31" s="686"/>
      <c r="J31" s="686"/>
      <c r="K31" s="543">
        <f>AVERAGE(K27:K30)</f>
        <v>0.15100000000000002</v>
      </c>
      <c r="L31" s="686"/>
      <c r="M31" s="686"/>
      <c r="N31" s="543">
        <f>AVERAGE(N27:N30)</f>
        <v>0.12199999999999989</v>
      </c>
      <c r="O31" s="807"/>
      <c r="P31" s="807"/>
      <c r="Q31" s="543">
        <f>AVERAGE(Q27:Q30)</f>
        <v>0.12400000000000011</v>
      </c>
      <c r="R31" s="807"/>
      <c r="S31" s="807"/>
      <c r="T31" s="543">
        <f>AVERAGE(T27:T30)</f>
        <v>9.8999999999999977E-2</v>
      </c>
      <c r="U31" s="807"/>
      <c r="V31" s="807"/>
      <c r="W31" s="543">
        <f>AVERAGE(W27:W30)</f>
        <v>7.1900000000000075E-2</v>
      </c>
      <c r="X31" s="807"/>
      <c r="Y31" s="807"/>
    </row>
    <row r="32" spans="1:25" x14ac:dyDescent="0.35">
      <c r="A32" s="356"/>
      <c r="B32" s="356"/>
      <c r="C32" s="681"/>
      <c r="E32" s="356"/>
      <c r="F32" s="681"/>
      <c r="G32" s="681"/>
      <c r="H32" s="357"/>
      <c r="I32" s="310"/>
      <c r="J32" s="37"/>
      <c r="K32" s="357"/>
      <c r="L32" s="37"/>
      <c r="M32" s="37"/>
      <c r="N32" s="248"/>
      <c r="Q32" s="248"/>
      <c r="T32" s="248"/>
      <c r="W32" s="248"/>
    </row>
    <row r="33" spans="1:25" ht="15" customHeight="1" x14ac:dyDescent="0.35">
      <c r="A33" s="352" t="s">
        <v>1627</v>
      </c>
      <c r="B33" s="352"/>
      <c r="C33" s="1161" t="str">
        <f>+$C$4</f>
        <v>2020/2021</v>
      </c>
      <c r="D33" s="1162"/>
      <c r="E33" s="1154" t="str">
        <f>+$E$4</f>
        <v>% Increase (for 21/22)</v>
      </c>
      <c r="F33" s="1158" t="str">
        <f>+F25</f>
        <v>2021/2022</v>
      </c>
      <c r="G33" s="1159"/>
      <c r="H33" s="1154" t="str">
        <f>H25</f>
        <v>% Increase (for 22/23)</v>
      </c>
      <c r="I33" s="1158" t="str">
        <f>I25</f>
        <v>2022/2023</v>
      </c>
      <c r="J33" s="1159"/>
      <c r="K33" s="1154" t="str">
        <f>K25</f>
        <v>% Increase (for 2023/24)</v>
      </c>
      <c r="L33" s="1158" t="str">
        <f>L25</f>
        <v>2023/2024</v>
      </c>
      <c r="M33" s="1159"/>
      <c r="N33" s="1154" t="str">
        <f>$N$4</f>
        <v>% Increase (for 2024/25)</v>
      </c>
      <c r="O33" s="1158" t="str">
        <f>O25</f>
        <v>2024/2025</v>
      </c>
      <c r="P33" s="1159"/>
      <c r="Q33" s="1154" t="str">
        <f>$Q$4</f>
        <v>% Increase (for 2025/26)</v>
      </c>
      <c r="R33" s="1158" t="str">
        <f>R25</f>
        <v>2025/2026</v>
      </c>
      <c r="S33" s="1159"/>
      <c r="T33" s="1152" t="str">
        <f>$T$4</f>
        <v>% Increase (for 2026/27)</v>
      </c>
      <c r="U33" s="1153" t="str">
        <f>U25</f>
        <v>2026/2027</v>
      </c>
      <c r="V33" s="1153"/>
      <c r="W33" s="1152" t="str">
        <f>$W$4</f>
        <v>% Increase (for 2027/28)</v>
      </c>
      <c r="X33" s="1153" t="str">
        <f>X25</f>
        <v>2027/2028</v>
      </c>
      <c r="Y33" s="1153"/>
    </row>
    <row r="34" spans="1:25" x14ac:dyDescent="0.35">
      <c r="A34" s="352"/>
      <c r="B34" s="352"/>
      <c r="C34" s="679" t="s">
        <v>249</v>
      </c>
      <c r="D34" s="789" t="s">
        <v>250</v>
      </c>
      <c r="E34" s="1154"/>
      <c r="F34" s="679" t="s">
        <v>249</v>
      </c>
      <c r="G34" s="679" t="s">
        <v>250</v>
      </c>
      <c r="H34" s="1154"/>
      <c r="I34" s="686" t="s">
        <v>249</v>
      </c>
      <c r="J34" s="686" t="s">
        <v>250</v>
      </c>
      <c r="K34" s="1154"/>
      <c r="L34" s="686" t="s">
        <v>249</v>
      </c>
      <c r="M34" s="686" t="s">
        <v>250</v>
      </c>
      <c r="N34" s="1154"/>
      <c r="O34" s="686" t="s">
        <v>249</v>
      </c>
      <c r="P34" s="686" t="s">
        <v>250</v>
      </c>
      <c r="Q34" s="1154"/>
      <c r="R34" s="686" t="s">
        <v>249</v>
      </c>
      <c r="S34" s="686" t="s">
        <v>250</v>
      </c>
      <c r="T34" s="1152"/>
      <c r="U34" s="843" t="s">
        <v>249</v>
      </c>
      <c r="V34" s="843" t="s">
        <v>250</v>
      </c>
      <c r="W34" s="1152"/>
      <c r="X34" s="843" t="s">
        <v>249</v>
      </c>
      <c r="Y34" s="843" t="s">
        <v>250</v>
      </c>
    </row>
    <row r="35" spans="1:25" x14ac:dyDescent="0.35">
      <c r="A35" s="356"/>
      <c r="B35" s="354" t="s">
        <v>1351</v>
      </c>
      <c r="C35" s="682">
        <v>471.66</v>
      </c>
      <c r="D35" s="794">
        <v>471.66</v>
      </c>
      <c r="E35" s="357">
        <f t="shared" ref="E35:E38" si="18">(F35/C35-1)*9/12+(G35/D35-1)*3/12</f>
        <v>0.14589619641266993</v>
      </c>
      <c r="F35" s="310">
        <v>540.47339999999997</v>
      </c>
      <c r="G35" s="310">
        <v>540.47339999999997</v>
      </c>
      <c r="H35" s="357">
        <f t="shared" ref="H35:H38" si="19">(I35/F35-1)*9/12+(J35/G35-1)*3/12</f>
        <v>7.4699999999999989E-2</v>
      </c>
      <c r="I35" s="310">
        <v>580.84676297999999</v>
      </c>
      <c r="J35" s="310">
        <v>580.84676297999999</v>
      </c>
      <c r="K35" s="357">
        <f t="shared" ref="K35:K38" si="20">(L35/I35-1)*9/12+(M35/J35-1)*3/12</f>
        <v>0.15100000000000002</v>
      </c>
      <c r="L35" s="310">
        <f>I35*(1+'MSCOA - Tariff Structure'!$Q$2)</f>
        <v>668.55462418998002</v>
      </c>
      <c r="M35" s="310">
        <f>J35*(1+'MSCOA - Tariff Structure'!$Q$2)</f>
        <v>668.55462418998002</v>
      </c>
      <c r="N35" s="821">
        <f t="shared" si="4"/>
        <v>0.12199999999999989</v>
      </c>
      <c r="O35" s="364">
        <f>L35*(1+'MSCOA - Tariff Structure'!$R$2)</f>
        <v>750.11828834115749</v>
      </c>
      <c r="P35" s="364">
        <f>M35*(1+'MSCOA - Tariff Structure'!$R$2)</f>
        <v>750.11828834115749</v>
      </c>
      <c r="Q35" s="821">
        <f t="shared" ref="Q35:Q38" si="21">(R35/O35-1)*9/12+(S35/P35-1)*3/12</f>
        <v>0.12400000000000011</v>
      </c>
      <c r="R35" s="245">
        <f>O35*(1+'MSCOA - Tariff Structure'!$S$2)</f>
        <v>843.13295609546105</v>
      </c>
      <c r="S35" s="245">
        <f>P35*(1+'MSCOA - Tariff Structure'!$S$2)</f>
        <v>843.13295609546105</v>
      </c>
      <c r="T35" s="821">
        <f>(U35/R35-1)*9/12+(V35/S35-1)*3/12</f>
        <v>9.8999999999999977E-2</v>
      </c>
      <c r="U35" s="245">
        <f>R35*(1+'MSCOA - Tariff Structure'!$T$2)</f>
        <v>926.6031187489117</v>
      </c>
      <c r="V35" s="245">
        <f>S35*(1+'MSCOA - Tariff Structure'!$T$2)</f>
        <v>926.6031187489117</v>
      </c>
      <c r="W35" s="821">
        <f>(X35/U35-1)*9/12+(Y35/V35-1)*3/12</f>
        <v>7.1900000000000075E-2</v>
      </c>
      <c r="X35" s="364">
        <f>U35*(1+'MSCOA - Tariff Structure'!$U$2)</f>
        <v>993.22588298695848</v>
      </c>
      <c r="Y35" s="364">
        <f>V35*(1+'MSCOA - Tariff Structure'!$U$2)</f>
        <v>993.22588298695848</v>
      </c>
    </row>
    <row r="36" spans="1:25" x14ac:dyDescent="0.35">
      <c r="A36" s="354" t="s">
        <v>1352</v>
      </c>
      <c r="B36" s="354" t="s">
        <v>1353</v>
      </c>
      <c r="C36" s="682">
        <v>2.1518999999999999</v>
      </c>
      <c r="D36" s="794">
        <v>3.9626999999999999</v>
      </c>
      <c r="E36" s="357">
        <f t="shared" si="18"/>
        <v>0.14587466329292315</v>
      </c>
      <c r="F36" s="310">
        <v>2.4658000000000002</v>
      </c>
      <c r="G36" s="310">
        <v>4.5407999999999999</v>
      </c>
      <c r="H36" s="357">
        <f t="shared" si="19"/>
        <v>7.4699999999999989E-2</v>
      </c>
      <c r="I36" s="310">
        <v>2.6499952600000003</v>
      </c>
      <c r="J36" s="310">
        <v>4.8799977600000002</v>
      </c>
      <c r="K36" s="357">
        <f t="shared" si="20"/>
        <v>0.15100000000000002</v>
      </c>
      <c r="L36" s="310">
        <f>I36*(1+'MSCOA - Tariff Structure'!$Q$2)</f>
        <v>3.0501445442600006</v>
      </c>
      <c r="M36" s="310">
        <f>J36*(1+'MSCOA - Tariff Structure'!$Q$2)</f>
        <v>5.6168774217599999</v>
      </c>
      <c r="N36" s="821">
        <f t="shared" si="4"/>
        <v>0.12199999999999989</v>
      </c>
      <c r="O36" s="364">
        <f>L36*(1+'MSCOA - Tariff Structure'!$R$2)</f>
        <v>3.4222621786597203</v>
      </c>
      <c r="P36" s="364">
        <f>M36*(1+'MSCOA - Tariff Structure'!$R$2)</f>
        <v>6.3021364672147193</v>
      </c>
      <c r="Q36" s="821">
        <f t="shared" si="21"/>
        <v>0.12400000000000011</v>
      </c>
      <c r="R36" s="245">
        <f>O36*(1+'MSCOA - Tariff Structure'!$S$2)</f>
        <v>3.8466226888135258</v>
      </c>
      <c r="S36" s="245">
        <f>P36*(1+'MSCOA - Tariff Structure'!$S$2)</f>
        <v>7.0836013891493455</v>
      </c>
      <c r="T36" s="821">
        <f>(U36/R36-1)*9/12+(V36/S36-1)*3/12</f>
        <v>9.8999999999999977E-2</v>
      </c>
      <c r="U36" s="245">
        <f>R36*(1+'MSCOA - Tariff Structure'!$T$2)</f>
        <v>4.2274383350060649</v>
      </c>
      <c r="V36" s="245">
        <f>S36*(1+'MSCOA - Tariff Structure'!$T$2)</f>
        <v>7.7848779266751302</v>
      </c>
      <c r="W36" s="821">
        <f>(X36/U36-1)*9/12+(Y36/V36-1)*3/12</f>
        <v>7.1900000000000075E-2</v>
      </c>
      <c r="X36" s="364">
        <f>U36*(1+'MSCOA - Tariff Structure'!$U$2)</f>
        <v>4.5313911512930014</v>
      </c>
      <c r="Y36" s="364">
        <f>V36*(1+'MSCOA - Tariff Structure'!$U$2)</f>
        <v>8.344610649603073</v>
      </c>
    </row>
    <row r="37" spans="1:25" x14ac:dyDescent="0.35">
      <c r="A37" s="354" t="s">
        <v>1354</v>
      </c>
      <c r="B37" s="354" t="s">
        <v>1355</v>
      </c>
      <c r="C37" s="682">
        <v>1.6138999999999999</v>
      </c>
      <c r="D37" s="794">
        <v>2.1781999999999999</v>
      </c>
      <c r="E37" s="357">
        <f t="shared" si="18"/>
        <v>0.14591493732238459</v>
      </c>
      <c r="F37" s="310">
        <v>1.8493999999999999</v>
      </c>
      <c r="G37" s="310">
        <v>2.496</v>
      </c>
      <c r="H37" s="357">
        <f t="shared" si="19"/>
        <v>7.4699999999999989E-2</v>
      </c>
      <c r="I37" s="310">
        <v>1.9875501799999999</v>
      </c>
      <c r="J37" s="310">
        <v>2.6824512</v>
      </c>
      <c r="K37" s="357">
        <f t="shared" si="20"/>
        <v>0.15100000000000002</v>
      </c>
      <c r="L37" s="310">
        <f>I37*(1+'MSCOA - Tariff Structure'!$Q$2)</f>
        <v>2.2876702571799998</v>
      </c>
      <c r="M37" s="310">
        <f>J37*(1+'MSCOA - Tariff Structure'!$Q$2)</f>
        <v>3.0875013311999999</v>
      </c>
      <c r="N37" s="821">
        <f t="shared" si="4"/>
        <v>0.12199999999999989</v>
      </c>
      <c r="O37" s="364">
        <f>L37*(1+'MSCOA - Tariff Structure'!$R$2)</f>
        <v>2.5667660285559597</v>
      </c>
      <c r="P37" s="364">
        <f>M37*(1+'MSCOA - Tariff Structure'!$R$2)</f>
        <v>3.4641764936063995</v>
      </c>
      <c r="Q37" s="821">
        <f t="shared" si="21"/>
        <v>0.12400000000000011</v>
      </c>
      <c r="R37" s="245">
        <f>O37*(1+'MSCOA - Tariff Structure'!$S$2)</f>
        <v>2.8850450160968988</v>
      </c>
      <c r="S37" s="245">
        <f>P37*(1+'MSCOA - Tariff Structure'!$S$2)</f>
        <v>3.8937343788135932</v>
      </c>
      <c r="T37" s="821">
        <f>(U37/R37-1)*9/12+(V37/S37-1)*3/12</f>
        <v>9.8999999999999977E-2</v>
      </c>
      <c r="U37" s="245">
        <f>R37*(1+'MSCOA - Tariff Structure'!$T$2)</f>
        <v>3.1706644726904916</v>
      </c>
      <c r="V37" s="245">
        <f>S37*(1+'MSCOA - Tariff Structure'!$T$2)</f>
        <v>4.2792140823161384</v>
      </c>
      <c r="W37" s="821">
        <f>(X37/U37-1)*9/12+(Y37/V37-1)*3/12</f>
        <v>7.1900000000000075E-2</v>
      </c>
      <c r="X37" s="364">
        <f>U37*(1+'MSCOA - Tariff Structure'!$U$2)</f>
        <v>3.3986352482769382</v>
      </c>
      <c r="Y37" s="364">
        <f>V37*(1+'MSCOA - Tariff Structure'!$U$2)</f>
        <v>4.586889574834669</v>
      </c>
    </row>
    <row r="38" spans="1:25" x14ac:dyDescent="0.35">
      <c r="A38" s="354" t="s">
        <v>1356</v>
      </c>
      <c r="B38" s="354" t="s">
        <v>1357</v>
      </c>
      <c r="C38" s="682">
        <v>1.3621000000000001</v>
      </c>
      <c r="D38" s="794">
        <v>2.0994000000000002</v>
      </c>
      <c r="E38" s="357">
        <f t="shared" si="18"/>
        <v>0.1458829737062487</v>
      </c>
      <c r="F38" s="310">
        <v>1.5608</v>
      </c>
      <c r="G38" s="310">
        <v>2.4056999999999999</v>
      </c>
      <c r="H38" s="357">
        <f t="shared" si="19"/>
        <v>7.4699999999999989E-2</v>
      </c>
      <c r="I38" s="310">
        <v>1.6773917599999999</v>
      </c>
      <c r="J38" s="310">
        <v>2.5854057899999998</v>
      </c>
      <c r="K38" s="357">
        <f t="shared" si="20"/>
        <v>0.15100000000000002</v>
      </c>
      <c r="L38" s="310">
        <f>I38*(1+'MSCOA - Tariff Structure'!$Q$2)</f>
        <v>1.93067791576</v>
      </c>
      <c r="M38" s="310">
        <f>J38*(1+'MSCOA - Tariff Structure'!$Q$2)</f>
        <v>2.9758020642899998</v>
      </c>
      <c r="N38" s="821">
        <f t="shared" si="4"/>
        <v>0.12199999999999989</v>
      </c>
      <c r="O38" s="364">
        <f>L38*(1+'MSCOA - Tariff Structure'!$R$2)</f>
        <v>2.16622062148272</v>
      </c>
      <c r="P38" s="364">
        <f>M38*(1+'MSCOA - Tariff Structure'!$R$2)</f>
        <v>3.3388499161333796</v>
      </c>
      <c r="Q38" s="821">
        <f t="shared" si="21"/>
        <v>0.12400000000000011</v>
      </c>
      <c r="R38" s="245">
        <f>O38*(1+'MSCOA - Tariff Structure'!$S$2)</f>
        <v>2.4348319785465775</v>
      </c>
      <c r="S38" s="245">
        <f>P38*(1+'MSCOA - Tariff Structure'!$S$2)</f>
        <v>3.7528673057339188</v>
      </c>
      <c r="T38" s="821">
        <f>(U38/R38-1)*9/12+(V38/S38-1)*3/12</f>
        <v>9.8999999999999977E-2</v>
      </c>
      <c r="U38" s="245">
        <f>R38*(1+'MSCOA - Tariff Structure'!$T$2)</f>
        <v>2.6758803444226889</v>
      </c>
      <c r="V38" s="245">
        <f>S38*(1+'MSCOA - Tariff Structure'!$T$2)</f>
        <v>4.1244011690015769</v>
      </c>
      <c r="W38" s="821">
        <f>(X38/U38-1)*9/12+(Y38/V38-1)*3/12</f>
        <v>7.1900000000000075E-2</v>
      </c>
      <c r="X38" s="364">
        <f>U38*(1+'MSCOA - Tariff Structure'!$U$2)</f>
        <v>2.8682761411866804</v>
      </c>
      <c r="Y38" s="364">
        <f>V38*(1+'MSCOA - Tariff Structure'!$U$2)</f>
        <v>4.4209456130527904</v>
      </c>
    </row>
    <row r="39" spans="1:25" x14ac:dyDescent="0.35">
      <c r="A39" s="352"/>
      <c r="B39" s="352" t="s">
        <v>1344</v>
      </c>
      <c r="C39" s="679"/>
      <c r="D39" s="789"/>
      <c r="E39" s="317">
        <f>AVERAGE(E35:E38)</f>
        <v>0.14589219268355658</v>
      </c>
      <c r="F39" s="679"/>
      <c r="G39" s="679"/>
      <c r="H39" s="543">
        <f>AVERAGE(H37:H38)</f>
        <v>7.4699999999999989E-2</v>
      </c>
      <c r="I39" s="686"/>
      <c r="J39" s="686"/>
      <c r="K39" s="543">
        <f>AVERAGE(K35:K38)</f>
        <v>0.15100000000000002</v>
      </c>
      <c r="L39" s="686"/>
      <c r="M39" s="686"/>
      <c r="N39" s="543">
        <f>AVERAGE(N35:N38)</f>
        <v>0.12199999999999989</v>
      </c>
      <c r="O39" s="807"/>
      <c r="P39" s="807"/>
      <c r="Q39" s="543">
        <f>AVERAGE(Q35:Q38)</f>
        <v>0.12400000000000011</v>
      </c>
      <c r="R39" s="807"/>
      <c r="S39" s="807"/>
      <c r="T39" s="543">
        <f>AVERAGE(T35:T38)</f>
        <v>9.8999999999999977E-2</v>
      </c>
      <c r="U39" s="807"/>
      <c r="V39" s="807"/>
      <c r="W39" s="543">
        <f>AVERAGE(W35:W38)</f>
        <v>7.1900000000000075E-2</v>
      </c>
      <c r="X39" s="807"/>
      <c r="Y39" s="807"/>
    </row>
    <row r="40" spans="1:25" x14ac:dyDescent="0.35">
      <c r="A40" s="356"/>
      <c r="B40" s="356"/>
      <c r="C40" s="681"/>
      <c r="E40" s="356"/>
      <c r="F40" s="681"/>
      <c r="G40" s="681"/>
      <c r="H40" s="357"/>
      <c r="I40" s="310"/>
      <c r="J40" s="37"/>
      <c r="K40" s="357"/>
      <c r="L40" s="37"/>
      <c r="M40" s="37"/>
      <c r="N40" s="248"/>
      <c r="Q40" s="248"/>
      <c r="T40" s="248"/>
      <c r="W40" s="248"/>
    </row>
    <row r="41" spans="1:25" ht="15" customHeight="1" x14ac:dyDescent="0.35">
      <c r="A41" s="352" t="s">
        <v>1358</v>
      </c>
      <c r="B41" s="352"/>
      <c r="C41" s="1161" t="str">
        <f>+$C$4</f>
        <v>2020/2021</v>
      </c>
      <c r="D41" s="1162"/>
      <c r="E41" s="1154" t="str">
        <f>+$E$4</f>
        <v>% Increase (for 21/22)</v>
      </c>
      <c r="F41" s="1158" t="str">
        <f>+F33</f>
        <v>2021/2022</v>
      </c>
      <c r="G41" s="1159"/>
      <c r="H41" s="1154" t="str">
        <f>H33</f>
        <v>% Increase (for 22/23)</v>
      </c>
      <c r="I41" s="1158" t="str">
        <f>I33</f>
        <v>2022/2023</v>
      </c>
      <c r="J41" s="1159"/>
      <c r="K41" s="1154" t="str">
        <f>K33</f>
        <v>% Increase (for 2023/24)</v>
      </c>
      <c r="L41" s="1158" t="str">
        <f>L33</f>
        <v>2023/2024</v>
      </c>
      <c r="M41" s="1159"/>
      <c r="N41" s="1154" t="str">
        <f>$N$4</f>
        <v>% Increase (for 2024/25)</v>
      </c>
      <c r="O41" s="1158" t="str">
        <f>O33</f>
        <v>2024/2025</v>
      </c>
      <c r="P41" s="1159"/>
      <c r="Q41" s="1154" t="str">
        <f>$Q$4</f>
        <v>% Increase (for 2025/26)</v>
      </c>
      <c r="R41" s="1158" t="str">
        <f>R33</f>
        <v>2025/2026</v>
      </c>
      <c r="S41" s="1159"/>
      <c r="T41" s="1152" t="str">
        <f>$T$4</f>
        <v>% Increase (for 2026/27)</v>
      </c>
      <c r="U41" s="1153" t="str">
        <f>U33</f>
        <v>2026/2027</v>
      </c>
      <c r="V41" s="1153"/>
      <c r="W41" s="1152" t="str">
        <f>$W$4</f>
        <v>% Increase (for 2027/28)</v>
      </c>
      <c r="X41" s="1153" t="str">
        <f>X33</f>
        <v>2027/2028</v>
      </c>
      <c r="Y41" s="1153"/>
    </row>
    <row r="42" spans="1:25" x14ac:dyDescent="0.35">
      <c r="A42" s="352"/>
      <c r="B42" s="352"/>
      <c r="C42" s="679" t="s">
        <v>249</v>
      </c>
      <c r="D42" s="789" t="s">
        <v>250</v>
      </c>
      <c r="E42" s="1154"/>
      <c r="F42" s="679" t="s">
        <v>249</v>
      </c>
      <c r="G42" s="679" t="s">
        <v>250</v>
      </c>
      <c r="H42" s="1154"/>
      <c r="I42" s="686" t="s">
        <v>249</v>
      </c>
      <c r="J42" s="686" t="s">
        <v>250</v>
      </c>
      <c r="K42" s="1154"/>
      <c r="L42" s="686" t="s">
        <v>249</v>
      </c>
      <c r="M42" s="686" t="s">
        <v>250</v>
      </c>
      <c r="N42" s="1154"/>
      <c r="O42" s="686" t="s">
        <v>249</v>
      </c>
      <c r="P42" s="686" t="s">
        <v>250</v>
      </c>
      <c r="Q42" s="1154"/>
      <c r="R42" s="686" t="s">
        <v>249</v>
      </c>
      <c r="S42" s="686" t="s">
        <v>250</v>
      </c>
      <c r="T42" s="1152"/>
      <c r="U42" s="843" t="s">
        <v>249</v>
      </c>
      <c r="V42" s="843" t="s">
        <v>250</v>
      </c>
      <c r="W42" s="1152"/>
      <c r="X42" s="843" t="s">
        <v>249</v>
      </c>
      <c r="Y42" s="843" t="s">
        <v>250</v>
      </c>
    </row>
    <row r="43" spans="1:25" x14ac:dyDescent="0.35">
      <c r="A43" s="354"/>
      <c r="B43" s="1136" t="s">
        <v>255</v>
      </c>
      <c r="C43" s="37"/>
      <c r="D43" s="793"/>
      <c r="E43" s="357"/>
      <c r="F43" s="682"/>
      <c r="G43" s="682"/>
      <c r="H43" s="357"/>
      <c r="I43" s="310"/>
      <c r="J43" s="310"/>
      <c r="K43" s="357"/>
      <c r="L43" s="310"/>
      <c r="M43" s="310"/>
      <c r="N43" s="821"/>
      <c r="O43" s="364"/>
      <c r="P43" s="364"/>
      <c r="Q43" s="821"/>
      <c r="R43" s="245"/>
      <c r="S43" s="245"/>
      <c r="T43" s="821"/>
      <c r="U43" s="346">
        <f>U20</f>
        <v>50</v>
      </c>
      <c r="V43" s="346">
        <f>U43</f>
        <v>50</v>
      </c>
      <c r="W43" s="471">
        <f>(X43/U43-1)*9/12+(Y43/V43-1)*3/12</f>
        <v>7.1900000000000075E-2</v>
      </c>
      <c r="X43" s="346">
        <f>X20</f>
        <v>53.594999999999999</v>
      </c>
      <c r="Y43" s="346">
        <f>X43</f>
        <v>53.594999999999999</v>
      </c>
    </row>
    <row r="44" spans="1:25" x14ac:dyDescent="0.35">
      <c r="A44" s="356"/>
      <c r="B44" s="354" t="s">
        <v>1359</v>
      </c>
      <c r="C44" s="683">
        <v>2.3075000000000001</v>
      </c>
      <c r="D44" s="796">
        <v>2.4125999999999999</v>
      </c>
      <c r="E44" s="357">
        <f t="shared" ref="E44" si="22">(F44/C44-1)*9/12+(G44/D44-1)*3/12</f>
        <v>0.14591829813780383</v>
      </c>
      <c r="F44" s="682">
        <v>2.6441909265520005</v>
      </c>
      <c r="G44" s="682">
        <v>2.764691249572</v>
      </c>
      <c r="H44" s="357">
        <f t="shared" ref="H44" si="23">(I44/F44-1)*9/12+(J44/G44-1)*3/12</f>
        <v>7.4693898136924897E-2</v>
      </c>
      <c r="I44" s="310">
        <v>2.8417217400000001</v>
      </c>
      <c r="J44" s="310">
        <v>2.97111562</v>
      </c>
      <c r="K44" s="357">
        <f t="shared" ref="K44" si="24">(L44/I44-1)*9/12+(M44/J44-1)*3/12</f>
        <v>0.15100000000000002</v>
      </c>
      <c r="L44" s="310">
        <f>I44*(1+'MSCOA - Tariff Structure'!$Q$2)</f>
        <v>3.27082172274</v>
      </c>
      <c r="M44" s="310">
        <f>J44*(1+'MSCOA - Tariff Structure'!$Q$2)</f>
        <v>3.41975407862</v>
      </c>
      <c r="N44" s="821">
        <f t="shared" si="4"/>
        <v>0.12199999999999989</v>
      </c>
      <c r="O44" s="364">
        <f>L44*(1+'MSCOA - Tariff Structure'!$R$2)</f>
        <v>3.6698619729142798</v>
      </c>
      <c r="P44" s="364">
        <f>M44*(1+'MSCOA - Tariff Structure'!$R$2)</f>
        <v>3.8369640762116397</v>
      </c>
      <c r="Q44" s="821">
        <f t="shared" ref="Q44" si="25">(R44/O44-1)*9/12+(S44/P44-1)*3/12</f>
        <v>0.12399999999999994</v>
      </c>
      <c r="R44" s="245">
        <f>O44*(1+'MSCOA - Tariff Structure'!$S$2)</f>
        <v>4.1249248575556505</v>
      </c>
      <c r="S44" s="245">
        <f>P44*(1+'MSCOA - Tariff Structure'!$S$2)</f>
        <v>4.3127476216618836</v>
      </c>
      <c r="T44" s="821">
        <f>(U44/R44-1)*9/12+(V44/S44-1)*3/12</f>
        <v>9.8999999999999977E-2</v>
      </c>
      <c r="U44" s="245">
        <f>R44*(1+'MSCOA - Tariff Structure'!$T$2)</f>
        <v>4.5332924184536596</v>
      </c>
      <c r="V44" s="245">
        <f>S44*(1+'MSCOA - Tariff Structure'!$T$2)</f>
        <v>4.7397096362064097</v>
      </c>
      <c r="W44" s="821">
        <f>(X44/U44-1)*9/12+(Y44/V44-1)*3/12</f>
        <v>7.1900000000000075E-2</v>
      </c>
      <c r="X44" s="364">
        <f>U44*(1+'MSCOA - Tariff Structure'!$U$2)</f>
        <v>4.8592361433404783</v>
      </c>
      <c r="Y44" s="364">
        <f>V44*(1+'MSCOA - Tariff Structure'!$U$2)</f>
        <v>5.0804947590496505</v>
      </c>
    </row>
    <row r="45" spans="1:25" x14ac:dyDescent="0.35">
      <c r="A45" s="352"/>
      <c r="B45" s="352" t="s">
        <v>1344</v>
      </c>
      <c r="C45" s="684"/>
      <c r="D45" s="789"/>
      <c r="E45" s="317">
        <f>AVERAGE(E44)</f>
        <v>0.14591829813780383</v>
      </c>
      <c r="F45" s="684"/>
      <c r="G45" s="679"/>
      <c r="H45" s="543">
        <f>AVERAGE(H42:H44)</f>
        <v>7.4693898136924897E-2</v>
      </c>
      <c r="I45" s="686"/>
      <c r="J45" s="686"/>
      <c r="K45" s="543">
        <f>AVERAGE(K44)</f>
        <v>0.15100000000000002</v>
      </c>
      <c r="L45" s="686"/>
      <c r="M45" s="686"/>
      <c r="N45" s="543">
        <f>AVERAGE(N44)</f>
        <v>0.12199999999999989</v>
      </c>
      <c r="O45" s="807"/>
      <c r="P45" s="807"/>
      <c r="Q45" s="543">
        <f>AVERAGE(Q44)</f>
        <v>0.12399999999999994</v>
      </c>
      <c r="R45" s="807"/>
      <c r="S45" s="807"/>
      <c r="T45" s="543">
        <f>AVERAGE(T44)</f>
        <v>9.8999999999999977E-2</v>
      </c>
      <c r="U45" s="807"/>
      <c r="V45" s="807"/>
      <c r="W45" s="543">
        <f>AVERAGE(W44)</f>
        <v>7.1900000000000075E-2</v>
      </c>
      <c r="X45" s="807"/>
      <c r="Y45" s="807"/>
    </row>
    <row r="46" spans="1:25" x14ac:dyDescent="0.35">
      <c r="A46" s="356"/>
      <c r="B46" s="356"/>
      <c r="C46" s="681"/>
      <c r="D46" s="792"/>
      <c r="E46" s="356"/>
      <c r="F46" s="681"/>
      <c r="G46" s="681"/>
      <c r="H46" s="357"/>
      <c r="I46" s="310"/>
      <c r="J46" s="37"/>
      <c r="K46" s="357"/>
      <c r="L46" s="37"/>
      <c r="M46" s="37"/>
      <c r="N46" s="248"/>
      <c r="Q46" s="248"/>
      <c r="T46" s="248"/>
      <c r="W46" s="248"/>
    </row>
    <row r="47" spans="1:25" ht="15" customHeight="1" x14ac:dyDescent="0.35">
      <c r="A47" s="352" t="s">
        <v>1360</v>
      </c>
      <c r="B47" s="352"/>
      <c r="C47" s="1161" t="str">
        <f>+$C$4</f>
        <v>2020/2021</v>
      </c>
      <c r="D47" s="1162"/>
      <c r="E47" s="1154" t="str">
        <f>+$E$4</f>
        <v>% Increase (for 21/22)</v>
      </c>
      <c r="F47" s="1158" t="str">
        <f>+F41</f>
        <v>2021/2022</v>
      </c>
      <c r="G47" s="1159"/>
      <c r="H47" s="1154" t="str">
        <f>H41</f>
        <v>% Increase (for 22/23)</v>
      </c>
      <c r="I47" s="1158" t="str">
        <f>I41</f>
        <v>2022/2023</v>
      </c>
      <c r="J47" s="1159"/>
      <c r="K47" s="1154" t="str">
        <f>K41</f>
        <v>% Increase (for 2023/24)</v>
      </c>
      <c r="L47" s="1158" t="str">
        <f>L41</f>
        <v>2023/2024</v>
      </c>
      <c r="M47" s="1159"/>
      <c r="N47" s="1154" t="str">
        <f>$N$4</f>
        <v>% Increase (for 2024/25)</v>
      </c>
      <c r="O47" s="1158" t="str">
        <f>O41</f>
        <v>2024/2025</v>
      </c>
      <c r="P47" s="1159"/>
      <c r="Q47" s="1154" t="str">
        <f>$Q$4</f>
        <v>% Increase (for 2025/26)</v>
      </c>
      <c r="R47" s="1158" t="str">
        <f>R41</f>
        <v>2025/2026</v>
      </c>
      <c r="S47" s="1159"/>
      <c r="T47" s="1152" t="str">
        <f>$T$4</f>
        <v>% Increase (for 2026/27)</v>
      </c>
      <c r="U47" s="1153" t="str">
        <f>U41</f>
        <v>2026/2027</v>
      </c>
      <c r="V47" s="1153"/>
      <c r="W47" s="1152" t="str">
        <f>$W$4</f>
        <v>% Increase (for 2027/28)</v>
      </c>
      <c r="X47" s="1153" t="str">
        <f>X41</f>
        <v>2027/2028</v>
      </c>
      <c r="Y47" s="1153"/>
    </row>
    <row r="48" spans="1:25" x14ac:dyDescent="0.35">
      <c r="A48" s="352" t="s">
        <v>1361</v>
      </c>
      <c r="B48" s="352"/>
      <c r="C48" s="679" t="s">
        <v>249</v>
      </c>
      <c r="D48" s="789" t="s">
        <v>250</v>
      </c>
      <c r="E48" s="1154"/>
      <c r="F48" s="679" t="s">
        <v>249</v>
      </c>
      <c r="G48" s="679" t="s">
        <v>250</v>
      </c>
      <c r="H48" s="1154"/>
      <c r="I48" s="686" t="s">
        <v>249</v>
      </c>
      <c r="J48" s="686" t="s">
        <v>250</v>
      </c>
      <c r="K48" s="1154"/>
      <c r="L48" s="686" t="s">
        <v>249</v>
      </c>
      <c r="M48" s="686" t="s">
        <v>250</v>
      </c>
      <c r="N48" s="1154"/>
      <c r="O48" s="686" t="s">
        <v>249</v>
      </c>
      <c r="P48" s="686" t="s">
        <v>250</v>
      </c>
      <c r="Q48" s="1154"/>
      <c r="R48" s="686" t="s">
        <v>249</v>
      </c>
      <c r="S48" s="686" t="s">
        <v>250</v>
      </c>
      <c r="T48" s="1152"/>
      <c r="U48" s="843" t="s">
        <v>249</v>
      </c>
      <c r="V48" s="843" t="s">
        <v>250</v>
      </c>
      <c r="W48" s="1152"/>
      <c r="X48" s="843" t="s">
        <v>249</v>
      </c>
      <c r="Y48" s="843" t="s">
        <v>250</v>
      </c>
    </row>
    <row r="49" spans="1:25" x14ac:dyDescent="0.35">
      <c r="A49" s="354"/>
      <c r="B49" s="1136" t="s">
        <v>255</v>
      </c>
      <c r="C49" s="37"/>
      <c r="D49" s="793"/>
      <c r="E49" s="357"/>
      <c r="F49" s="682"/>
      <c r="G49" s="682"/>
      <c r="H49" s="357"/>
      <c r="I49" s="310"/>
      <c r="J49" s="310"/>
      <c r="K49" s="357"/>
      <c r="L49" s="310"/>
      <c r="M49" s="310"/>
      <c r="N49" s="821"/>
      <c r="O49" s="364"/>
      <c r="P49" s="364"/>
      <c r="Q49" s="821"/>
      <c r="R49" s="245"/>
      <c r="S49" s="245"/>
      <c r="T49" s="821"/>
      <c r="U49" s="346">
        <v>100</v>
      </c>
      <c r="V49" s="346">
        <f>U49</f>
        <v>100</v>
      </c>
      <c r="W49" s="471">
        <f>(X49/U49-1)*9/12+(Y49/V49-1)*3/12</f>
        <v>7.1900000000000075E-2</v>
      </c>
      <c r="X49" s="346">
        <v>107.19</v>
      </c>
      <c r="Y49" s="346">
        <f>X49</f>
        <v>107.19</v>
      </c>
    </row>
    <row r="50" spans="1:25" x14ac:dyDescent="0.35">
      <c r="A50" s="318" t="s">
        <v>1362</v>
      </c>
      <c r="B50" s="354" t="s">
        <v>1359</v>
      </c>
      <c r="C50" s="683">
        <v>2.3075000000000001</v>
      </c>
      <c r="D50" s="796">
        <v>2.4125999999999999</v>
      </c>
      <c r="E50" s="357">
        <f t="shared" ref="E50" si="26">(F50/C50-1)*9/12+(G50/D50-1)*3/12</f>
        <v>0.14591829813780383</v>
      </c>
      <c r="F50" s="682">
        <v>2.6441909265520005</v>
      </c>
      <c r="G50" s="682">
        <v>2.764691249572</v>
      </c>
      <c r="H50" s="357">
        <f t="shared" ref="H50" si="27">(I50/F50-1)*9/12+(J50/G50-1)*3/12</f>
        <v>7.4693898136924897E-2</v>
      </c>
      <c r="I50" s="310">
        <v>2.8417217400000001</v>
      </c>
      <c r="J50" s="310">
        <v>2.97111562</v>
      </c>
      <c r="K50" s="357">
        <f t="shared" ref="K50" si="28">(L50/I50-1)*9/12+(M50/J50-1)*3/12</f>
        <v>0.15100000000000002</v>
      </c>
      <c r="L50" s="310">
        <f>I50*(1+'MSCOA - Tariff Structure'!$Q$2)</f>
        <v>3.27082172274</v>
      </c>
      <c r="M50" s="310">
        <f>J50*(1+'MSCOA - Tariff Structure'!$Q$2)</f>
        <v>3.41975407862</v>
      </c>
      <c r="N50" s="821">
        <f t="shared" si="4"/>
        <v>0.12199999999999989</v>
      </c>
      <c r="O50" s="364">
        <f>L50*(1+'MSCOA - Tariff Structure'!$R$2)</f>
        <v>3.6698619729142798</v>
      </c>
      <c r="P50" s="364">
        <f>M50*(1+'MSCOA - Tariff Structure'!$R$2)</f>
        <v>3.8369640762116397</v>
      </c>
      <c r="Q50" s="821">
        <f t="shared" ref="Q50" si="29">(R50/O50-1)*9/12+(S50/P50-1)*3/12</f>
        <v>0.12399999999999994</v>
      </c>
      <c r="R50" s="245">
        <f>O50*(1+'MSCOA - Tariff Structure'!$S$2)</f>
        <v>4.1249248575556505</v>
      </c>
      <c r="S50" s="245">
        <f>P50*(1+'MSCOA - Tariff Structure'!$S$2)</f>
        <v>4.3127476216618836</v>
      </c>
      <c r="T50" s="821">
        <f>(U50/R50-1)*9/12+(V50/S50-1)*3/12</f>
        <v>9.8999999999999977E-2</v>
      </c>
      <c r="U50" s="245">
        <f>R50*(1+'MSCOA - Tariff Structure'!$T$2)</f>
        <v>4.5332924184536596</v>
      </c>
      <c r="V50" s="245">
        <f>S50*(1+'MSCOA - Tariff Structure'!$T$2)</f>
        <v>4.7397096362064097</v>
      </c>
      <c r="W50" s="821">
        <f>(X50/U50-1)*9/12+(Y50/V50-1)*3/12</f>
        <v>7.1900000000000075E-2</v>
      </c>
      <c r="X50" s="364">
        <f>U50*(1+'MSCOA - Tariff Structure'!$U$2)</f>
        <v>4.8592361433404783</v>
      </c>
      <c r="Y50" s="364">
        <f>V50*(1+'MSCOA - Tariff Structure'!$U$2)</f>
        <v>5.0804947590496505</v>
      </c>
    </row>
    <row r="51" spans="1:25" x14ac:dyDescent="0.35">
      <c r="A51" s="352"/>
      <c r="B51" s="352" t="s">
        <v>1344</v>
      </c>
      <c r="C51" s="679"/>
      <c r="D51" s="789"/>
      <c r="E51" s="317">
        <f>AVERAGE(E50)</f>
        <v>0.14591829813780383</v>
      </c>
      <c r="F51" s="679"/>
      <c r="G51" s="679"/>
      <c r="H51" s="543">
        <f>AVERAGE(H48:H50)</f>
        <v>7.4693898136924897E-2</v>
      </c>
      <c r="I51" s="686"/>
      <c r="J51" s="686"/>
      <c r="K51" s="543">
        <f>AVERAGE(K50)</f>
        <v>0.15100000000000002</v>
      </c>
      <c r="L51" s="686"/>
      <c r="M51" s="686"/>
      <c r="N51" s="811"/>
      <c r="O51" s="807"/>
      <c r="P51" s="807"/>
      <c r="Q51" s="811"/>
      <c r="R51" s="807"/>
      <c r="S51" s="807"/>
      <c r="T51" s="811"/>
      <c r="U51" s="807"/>
      <c r="V51" s="807"/>
      <c r="W51" s="811"/>
      <c r="X51" s="807"/>
      <c r="Y51" s="807"/>
    </row>
    <row r="52" spans="1:25" x14ac:dyDescent="0.35">
      <c r="A52" s="356"/>
      <c r="B52" s="356"/>
      <c r="C52" s="681"/>
      <c r="D52" s="792"/>
      <c r="E52" s="356"/>
      <c r="F52" s="681"/>
      <c r="G52" s="681"/>
      <c r="H52" s="357"/>
      <c r="I52" s="310"/>
      <c r="J52" s="37"/>
      <c r="K52" s="357"/>
      <c r="L52" s="37"/>
      <c r="M52" s="37"/>
      <c r="N52" s="248"/>
      <c r="Q52" s="248"/>
      <c r="T52" s="248"/>
      <c r="W52" s="248"/>
    </row>
    <row r="53" spans="1:25" ht="35.15" customHeight="1" x14ac:dyDescent="0.4">
      <c r="A53" s="1137" t="s">
        <v>1339</v>
      </c>
      <c r="B53" s="826"/>
      <c r="C53" s="827"/>
      <c r="D53" s="828"/>
      <c r="E53" s="826"/>
      <c r="F53" s="829"/>
      <c r="G53" s="829"/>
      <c r="H53" s="829"/>
      <c r="I53" s="830"/>
      <c r="J53" s="830"/>
      <c r="K53" s="831"/>
      <c r="L53" s="832"/>
      <c r="M53" s="832"/>
      <c r="N53" s="833" t="s">
        <v>1340</v>
      </c>
      <c r="O53" s="831"/>
      <c r="P53" s="829"/>
      <c r="Q53" s="829"/>
      <c r="R53" s="1138"/>
      <c r="S53" s="1138"/>
      <c r="T53" s="1138"/>
      <c r="U53" s="1138"/>
      <c r="V53" s="1138"/>
      <c r="W53" s="1138"/>
      <c r="X53" s="1138"/>
      <c r="Y53" s="1138"/>
    </row>
    <row r="54" spans="1:25" ht="15" customHeight="1" x14ac:dyDescent="0.35">
      <c r="A54" s="352" t="s">
        <v>1625</v>
      </c>
      <c r="B54" s="352"/>
      <c r="C54" s="1161" t="str">
        <f>+$C$4</f>
        <v>2020/2021</v>
      </c>
      <c r="D54" s="1162"/>
      <c r="E54" s="1154" t="str">
        <f>+$E$4</f>
        <v>% Increase (for 21/22)</v>
      </c>
      <c r="F54" s="1158" t="str">
        <f>+F47</f>
        <v>2021/2022</v>
      </c>
      <c r="G54" s="1159"/>
      <c r="H54" s="1154" t="str">
        <f>H47</f>
        <v>% Increase (for 22/23)</v>
      </c>
      <c r="I54" s="1158" t="str">
        <f>I47</f>
        <v>2022/2023</v>
      </c>
      <c r="J54" s="1159"/>
      <c r="K54" s="1154" t="str">
        <f>K47</f>
        <v>% Increase (for 2023/24)</v>
      </c>
      <c r="L54" s="1158" t="str">
        <f>L47</f>
        <v>2023/2024</v>
      </c>
      <c r="M54" s="1159"/>
      <c r="N54" s="1154" t="str">
        <f>$N$4</f>
        <v>% Increase (for 2024/25)</v>
      </c>
      <c r="O54" s="1158" t="str">
        <f>O47</f>
        <v>2024/2025</v>
      </c>
      <c r="P54" s="1159"/>
      <c r="Q54" s="1154" t="str">
        <f>$Q$4</f>
        <v>% Increase (for 2025/26)</v>
      </c>
      <c r="R54" s="1158" t="str">
        <f>R47</f>
        <v>2025/2026</v>
      </c>
      <c r="S54" s="1159"/>
      <c r="T54" s="1152" t="str">
        <f>$T$4</f>
        <v>% Increase (for 2026/27)</v>
      </c>
      <c r="U54" s="1153" t="str">
        <f>U47</f>
        <v>2026/2027</v>
      </c>
      <c r="V54" s="1153"/>
      <c r="W54" s="1152" t="str">
        <f>$W$4</f>
        <v>% Increase (for 2027/28)</v>
      </c>
      <c r="X54" s="1153" t="str">
        <f>X47</f>
        <v>2027/2028</v>
      </c>
      <c r="Y54" s="1153"/>
    </row>
    <row r="55" spans="1:25" x14ac:dyDescent="0.35">
      <c r="A55" s="352"/>
      <c r="B55" s="352"/>
      <c r="C55" s="679" t="s">
        <v>249</v>
      </c>
      <c r="D55" s="789" t="s">
        <v>250</v>
      </c>
      <c r="E55" s="1154"/>
      <c r="F55" s="679" t="s">
        <v>249</v>
      </c>
      <c r="G55" s="679" t="s">
        <v>250</v>
      </c>
      <c r="H55" s="1154"/>
      <c r="I55" s="686" t="s">
        <v>249</v>
      </c>
      <c r="J55" s="686" t="s">
        <v>250</v>
      </c>
      <c r="K55" s="1154"/>
      <c r="L55" s="686" t="s">
        <v>249</v>
      </c>
      <c r="M55" s="686" t="s">
        <v>250</v>
      </c>
      <c r="N55" s="1154"/>
      <c r="O55" s="686" t="s">
        <v>249</v>
      </c>
      <c r="P55" s="686" t="s">
        <v>250</v>
      </c>
      <c r="Q55" s="1154"/>
      <c r="R55" s="686" t="s">
        <v>249</v>
      </c>
      <c r="S55" s="686" t="s">
        <v>250</v>
      </c>
      <c r="T55" s="1152"/>
      <c r="U55" s="843" t="s">
        <v>249</v>
      </c>
      <c r="V55" s="843" t="s">
        <v>250</v>
      </c>
      <c r="W55" s="1152"/>
      <c r="X55" s="843" t="s">
        <v>249</v>
      </c>
      <c r="Y55" s="843" t="s">
        <v>250</v>
      </c>
    </row>
    <row r="56" spans="1:25" x14ac:dyDescent="0.35">
      <c r="A56" s="356"/>
      <c r="B56" s="354" t="s">
        <v>1350</v>
      </c>
      <c r="C56" s="682">
        <v>170.03</v>
      </c>
      <c r="D56" s="794">
        <v>170.03</v>
      </c>
      <c r="E56" s="357">
        <f t="shared" ref="E56:E59" si="30">(F56/C56-1)*9/12+(G56/D56-1)*3/12</f>
        <v>0.10498147385755452</v>
      </c>
      <c r="F56" s="682">
        <v>187.88</v>
      </c>
      <c r="G56" s="682">
        <v>187.88</v>
      </c>
      <c r="H56" s="357">
        <f t="shared" ref="H56:H59" si="31">(I56/F56-1)*9/12+(J56/G56-1)*3/12</f>
        <v>7.4699999999999989E-2</v>
      </c>
      <c r="I56" s="804">
        <v>201.914636</v>
      </c>
      <c r="J56" s="804">
        <v>201.914636</v>
      </c>
      <c r="K56" s="357">
        <f t="shared" ref="K56:K59" si="32">(L56/I56-1)*9/12+(M56/J56-1)*3/12</f>
        <v>0.15100000000000002</v>
      </c>
      <c r="L56" s="310">
        <f>I56*(1+'MSCOA - Tariff Structure'!$Q$2)</f>
        <v>232.403746036</v>
      </c>
      <c r="M56" s="310">
        <f>J56*(1+'MSCOA - Tariff Structure'!$Q$2)</f>
        <v>232.403746036</v>
      </c>
      <c r="N56" s="821">
        <f t="shared" si="4"/>
        <v>0.12199999999999989</v>
      </c>
      <c r="O56" s="364">
        <f>L56*(1+'MSCOA - Tariff Structure'!$R$2)</f>
        <v>260.75700305239195</v>
      </c>
      <c r="P56" s="364">
        <f>M56*(1+'MSCOA - Tariff Structure'!$R$2)</f>
        <v>260.75700305239195</v>
      </c>
      <c r="Q56" s="821">
        <f t="shared" ref="Q56:Q59" si="33">(R56/O56-1)*9/12+(S56/P56-1)*3/12</f>
        <v>0.12400000000000011</v>
      </c>
      <c r="R56" s="245">
        <f>O56*(1+'MSCOA - Tariff Structure'!$S$2)</f>
        <v>293.09087143088857</v>
      </c>
      <c r="S56" s="245">
        <f>P56*(1+'MSCOA - Tariff Structure'!$S$2)</f>
        <v>293.09087143088857</v>
      </c>
      <c r="T56" s="821">
        <f>(U56/R56-1)*9/12+(V56/S56-1)*3/12</f>
        <v>9.8999999999999977E-2</v>
      </c>
      <c r="U56" s="245">
        <f>R56*(1+'MSCOA - Tariff Structure'!$T$2)</f>
        <v>322.10686770254654</v>
      </c>
      <c r="V56" s="245">
        <f>S56*(1+'MSCOA - Tariff Structure'!$T$2)</f>
        <v>322.10686770254654</v>
      </c>
      <c r="W56" s="821">
        <f>(X56/U56-1)*9/12+(Y56/V56-1)*3/12</f>
        <v>7.1900000000000075E-2</v>
      </c>
      <c r="X56" s="364">
        <f>U56*(1+'MSCOA - Tariff Structure'!$U$2)</f>
        <v>345.26635149035968</v>
      </c>
      <c r="Y56" s="364">
        <f>V56*(1+'MSCOA - Tariff Structure'!$U$2)</f>
        <v>345.26635149035968</v>
      </c>
    </row>
    <row r="57" spans="1:25" x14ac:dyDescent="0.35">
      <c r="A57" s="354" t="s">
        <v>1363</v>
      </c>
      <c r="B57" s="354" t="s">
        <v>1353</v>
      </c>
      <c r="C57" s="682">
        <v>2.6393</v>
      </c>
      <c r="D57" s="794">
        <v>3.9117999999999999</v>
      </c>
      <c r="E57" s="357">
        <f t="shared" si="30"/>
        <v>0.1049899771354959</v>
      </c>
      <c r="F57" s="682">
        <v>2.9163999999999999</v>
      </c>
      <c r="G57" s="682">
        <v>4.3224999999999998</v>
      </c>
      <c r="H57" s="357">
        <f t="shared" si="31"/>
        <v>7.4699999999999989E-2</v>
      </c>
      <c r="I57" s="804">
        <v>3.13425508</v>
      </c>
      <c r="J57" s="804">
        <v>4.6453907499999998</v>
      </c>
      <c r="K57" s="357">
        <f t="shared" si="32"/>
        <v>0.15100000000000002</v>
      </c>
      <c r="L57" s="310">
        <f>I57*(1+'MSCOA - Tariff Structure'!$Q$2)</f>
        <v>3.6075275970800003</v>
      </c>
      <c r="M57" s="310">
        <f>J57*(1+'MSCOA - Tariff Structure'!$Q$2)</f>
        <v>5.3468447532500001</v>
      </c>
      <c r="N57" s="821">
        <f t="shared" si="4"/>
        <v>0.12199999999999989</v>
      </c>
      <c r="O57" s="364">
        <f>L57*(1+'MSCOA - Tariff Structure'!$R$2)</f>
        <v>4.0476459639237596</v>
      </c>
      <c r="P57" s="364">
        <f>M57*(1+'MSCOA - Tariff Structure'!$R$2)</f>
        <v>5.9991598131464992</v>
      </c>
      <c r="Q57" s="821">
        <f t="shared" si="33"/>
        <v>0.12400000000000011</v>
      </c>
      <c r="R57" s="245">
        <f>O57*(1+'MSCOA - Tariff Structure'!$S$2)</f>
        <v>4.549554063450306</v>
      </c>
      <c r="S57" s="245">
        <f>P57*(1+'MSCOA - Tariff Structure'!$S$2)</f>
        <v>6.7430556299766655</v>
      </c>
      <c r="T57" s="821">
        <f>(U57/R57-1)*9/12+(V57/S57-1)*3/12</f>
        <v>9.8999999999999977E-2</v>
      </c>
      <c r="U57" s="245">
        <f>R57*(1+'MSCOA - Tariff Structure'!$T$2)</f>
        <v>4.9999599157318864</v>
      </c>
      <c r="V57" s="245">
        <f>S57*(1+'MSCOA - Tariff Structure'!$T$2)</f>
        <v>7.4106181373443549</v>
      </c>
      <c r="W57" s="821">
        <f>(X57/U57-1)*9/12+(Y57/V57-1)*3/12</f>
        <v>7.1900000000000075E-2</v>
      </c>
      <c r="X57" s="364">
        <f>U57*(1+'MSCOA - Tariff Structure'!$U$2)</f>
        <v>5.3594570336730092</v>
      </c>
      <c r="Y57" s="364">
        <f>V57*(1+'MSCOA - Tariff Structure'!$U$2)</f>
        <v>7.9434415814194148</v>
      </c>
    </row>
    <row r="58" spans="1:25" x14ac:dyDescent="0.35">
      <c r="A58" s="354" t="s">
        <v>1364</v>
      </c>
      <c r="B58" s="354" t="s">
        <v>1355</v>
      </c>
      <c r="C58" s="682">
        <v>1.4728000000000001</v>
      </c>
      <c r="D58" s="794">
        <v>2.3919000000000001</v>
      </c>
      <c r="E58" s="357">
        <f t="shared" si="30"/>
        <v>0.10502334339899044</v>
      </c>
      <c r="F58" s="682">
        <v>1.6274999999999999</v>
      </c>
      <c r="G58" s="682">
        <v>2.6429999999999998</v>
      </c>
      <c r="H58" s="357">
        <f t="shared" si="31"/>
        <v>7.4699999999999989E-2</v>
      </c>
      <c r="I58" s="804">
        <v>1.7490742500000001</v>
      </c>
      <c r="J58" s="804">
        <v>2.8404320999999997</v>
      </c>
      <c r="K58" s="357">
        <f t="shared" si="32"/>
        <v>0.15100000000000019</v>
      </c>
      <c r="L58" s="310">
        <f>I58*(1+'MSCOA - Tariff Structure'!$Q$2)</f>
        <v>2.0131844617500003</v>
      </c>
      <c r="M58" s="310">
        <f>J58*(1+'MSCOA - Tariff Structure'!$Q$2)</f>
        <v>3.2693373470999996</v>
      </c>
      <c r="N58" s="821">
        <f t="shared" si="4"/>
        <v>0.12199999999999989</v>
      </c>
      <c r="O58" s="364">
        <f>L58*(1+'MSCOA - Tariff Structure'!$R$2)</f>
        <v>2.2587929660835</v>
      </c>
      <c r="P58" s="364">
        <f>M58*(1+'MSCOA - Tariff Structure'!$R$2)</f>
        <v>3.668196503446199</v>
      </c>
      <c r="Q58" s="821">
        <f t="shared" si="33"/>
        <v>0.12400000000000011</v>
      </c>
      <c r="R58" s="245">
        <f>O58*(1+'MSCOA - Tariff Structure'!$S$2)</f>
        <v>2.5388832938778543</v>
      </c>
      <c r="S58" s="245">
        <f>P58*(1+'MSCOA - Tariff Structure'!$S$2)</f>
        <v>4.1230528698735283</v>
      </c>
      <c r="T58" s="821">
        <f>(U58/R58-1)*9/12+(V58/S58-1)*3/12</f>
        <v>9.8999999999999977E-2</v>
      </c>
      <c r="U58" s="245">
        <f>R58*(1+'MSCOA - Tariff Structure'!$T$2)</f>
        <v>2.7902327399717617</v>
      </c>
      <c r="V58" s="245">
        <f>S58*(1+'MSCOA - Tariff Structure'!$T$2)</f>
        <v>4.5312351039910075</v>
      </c>
      <c r="W58" s="821">
        <f>(X58/U58-1)*9/12+(Y58/V58-1)*3/12</f>
        <v>7.1900000000000075E-2</v>
      </c>
      <c r="X58" s="364">
        <f>U58*(1+'MSCOA - Tariff Structure'!$U$2)</f>
        <v>2.9908504739757316</v>
      </c>
      <c r="Y58" s="364">
        <f>V58*(1+'MSCOA - Tariff Structure'!$U$2)</f>
        <v>4.8570309079679612</v>
      </c>
    </row>
    <row r="59" spans="1:25" x14ac:dyDescent="0.35">
      <c r="A59" s="354" t="s">
        <v>1365</v>
      </c>
      <c r="B59" s="354" t="s">
        <v>1366</v>
      </c>
      <c r="C59" s="682">
        <v>1.3668</v>
      </c>
      <c r="D59" s="794">
        <v>1.7556</v>
      </c>
      <c r="E59" s="357">
        <f t="shared" si="30"/>
        <v>0.10498690656724013</v>
      </c>
      <c r="F59" s="682">
        <v>1.5103</v>
      </c>
      <c r="G59" s="682">
        <v>1.9399</v>
      </c>
      <c r="H59" s="357">
        <f t="shared" si="31"/>
        <v>7.4699999999999989E-2</v>
      </c>
      <c r="I59" s="804">
        <v>1.6231194099999999</v>
      </c>
      <c r="J59" s="804">
        <v>2.0848105299999999</v>
      </c>
      <c r="K59" s="357">
        <f t="shared" si="32"/>
        <v>0.15100000000000002</v>
      </c>
      <c r="L59" s="310">
        <f>I59*(1+'MSCOA - Tariff Structure'!$Q$2)</f>
        <v>1.86821044091</v>
      </c>
      <c r="M59" s="310">
        <f>J59*(1+'MSCOA - Tariff Structure'!$Q$2)</f>
        <v>2.3996169200300002</v>
      </c>
      <c r="N59" s="821">
        <f t="shared" si="4"/>
        <v>0.12199999999999989</v>
      </c>
      <c r="O59" s="364">
        <f>L59*(1+'MSCOA - Tariff Structure'!$R$2)</f>
        <v>2.0961321147010197</v>
      </c>
      <c r="P59" s="364">
        <f>M59*(1+'MSCOA - Tariff Structure'!$R$2)</f>
        <v>2.6923701842736598</v>
      </c>
      <c r="Q59" s="821">
        <f t="shared" si="33"/>
        <v>0.12400000000000011</v>
      </c>
      <c r="R59" s="245">
        <f>O59*(1+'MSCOA - Tariff Structure'!$S$2)</f>
        <v>2.3560524969239465</v>
      </c>
      <c r="S59" s="245">
        <f>P59*(1+'MSCOA - Tariff Structure'!$S$2)</f>
        <v>3.0262240871235941</v>
      </c>
      <c r="T59" s="821">
        <f>(U59/R59-1)*9/12+(V59/S59-1)*3/12</f>
        <v>9.8999999999999977E-2</v>
      </c>
      <c r="U59" s="245">
        <f>R59*(1+'MSCOA - Tariff Structure'!$T$2)</f>
        <v>2.5893016941194169</v>
      </c>
      <c r="V59" s="245">
        <f>S59*(1+'MSCOA - Tariff Structure'!$T$2)</f>
        <v>3.3258202717488299</v>
      </c>
      <c r="W59" s="821">
        <f>(X59/U59-1)*9/12+(Y59/V59-1)*3/12</f>
        <v>7.1900000000000075E-2</v>
      </c>
      <c r="X59" s="364">
        <f>U59*(1+'MSCOA - Tariff Structure'!$U$2)</f>
        <v>2.7754724859266031</v>
      </c>
      <c r="Y59" s="364">
        <f>V59*(1+'MSCOA - Tariff Structure'!$U$2)</f>
        <v>3.564946749287571</v>
      </c>
    </row>
    <row r="60" spans="1:25" x14ac:dyDescent="0.35">
      <c r="A60" s="352"/>
      <c r="B60" s="352" t="s">
        <v>1344</v>
      </c>
      <c r="C60" s="684"/>
      <c r="D60" s="789"/>
      <c r="E60" s="317">
        <f>AVERAGE(E56:E59)</f>
        <v>0.10499542523982025</v>
      </c>
      <c r="F60" s="684"/>
      <c r="G60" s="679"/>
      <c r="H60" s="543">
        <f>AVERAGE(H56:H59)</f>
        <v>7.4699999999999989E-2</v>
      </c>
      <c r="I60" s="686"/>
      <c r="J60" s="686"/>
      <c r="K60" s="543">
        <f>AVERAGE(K56:K59)</f>
        <v>0.15100000000000008</v>
      </c>
      <c r="L60" s="686"/>
      <c r="M60" s="686"/>
      <c r="N60" s="543">
        <f>AVERAGE(N56:N59)</f>
        <v>0.12199999999999989</v>
      </c>
      <c r="O60" s="822"/>
      <c r="P60" s="822"/>
      <c r="Q60" s="543">
        <f>AVERAGE(Q56:Q59)</f>
        <v>0.12400000000000011</v>
      </c>
      <c r="R60" s="822"/>
      <c r="S60" s="822"/>
      <c r="T60" s="543">
        <f>AVERAGE(T56:T59)</f>
        <v>9.8999999999999977E-2</v>
      </c>
      <c r="U60" s="822"/>
      <c r="V60" s="822"/>
      <c r="W60" s="543">
        <f>AVERAGE(W56:W59)</f>
        <v>7.1900000000000075E-2</v>
      </c>
      <c r="X60" s="822"/>
      <c r="Y60" s="822"/>
    </row>
    <row r="61" spans="1:25" x14ac:dyDescent="0.35">
      <c r="A61" s="356"/>
      <c r="B61" s="356"/>
      <c r="C61" s="681"/>
      <c r="D61" s="792"/>
      <c r="E61" s="356"/>
      <c r="F61" s="681"/>
      <c r="G61" s="681"/>
      <c r="H61" s="357"/>
      <c r="I61" s="37"/>
      <c r="J61" s="37"/>
      <c r="K61" s="357"/>
      <c r="L61" s="37"/>
      <c r="M61" s="37"/>
      <c r="N61" s="248"/>
      <c r="O61" s="245"/>
      <c r="P61" s="245"/>
      <c r="Q61" s="248"/>
      <c r="R61" s="245"/>
      <c r="S61" s="245"/>
      <c r="T61" s="248"/>
      <c r="U61" s="245"/>
      <c r="V61" s="245"/>
      <c r="W61" s="248"/>
      <c r="X61" s="245"/>
      <c r="Y61" s="245"/>
    </row>
    <row r="62" spans="1:25" ht="15" customHeight="1" x14ac:dyDescent="0.35">
      <c r="A62" s="352" t="s">
        <v>1626</v>
      </c>
      <c r="B62" s="352"/>
      <c r="C62" s="1161" t="str">
        <f>+$C$4</f>
        <v>2020/2021</v>
      </c>
      <c r="D62" s="1162"/>
      <c r="E62" s="1154" t="str">
        <f>+$E$4</f>
        <v>% Increase (for 21/22)</v>
      </c>
      <c r="F62" s="1158" t="str">
        <f>+F54</f>
        <v>2021/2022</v>
      </c>
      <c r="G62" s="1159"/>
      <c r="H62" s="1154" t="str">
        <f>H54</f>
        <v>% Increase (for 22/23)</v>
      </c>
      <c r="I62" s="1158" t="str">
        <f>I54</f>
        <v>2022/2023</v>
      </c>
      <c r="J62" s="1159"/>
      <c r="K62" s="1154" t="str">
        <f>K54</f>
        <v>% Increase (for 2023/24)</v>
      </c>
      <c r="L62" s="1158" t="str">
        <f>L54</f>
        <v>2023/2024</v>
      </c>
      <c r="M62" s="1159"/>
      <c r="N62" s="1154" t="str">
        <f>$N$4</f>
        <v>% Increase (for 2024/25)</v>
      </c>
      <c r="O62" s="1158" t="str">
        <f>O54</f>
        <v>2024/2025</v>
      </c>
      <c r="P62" s="1159"/>
      <c r="Q62" s="1154" t="str">
        <f>$Q$4</f>
        <v>% Increase (for 2025/26)</v>
      </c>
      <c r="R62" s="1158" t="str">
        <f>R54</f>
        <v>2025/2026</v>
      </c>
      <c r="S62" s="1159"/>
      <c r="T62" s="1152" t="str">
        <f>$T$4</f>
        <v>% Increase (for 2026/27)</v>
      </c>
      <c r="U62" s="1153" t="str">
        <f>U54</f>
        <v>2026/2027</v>
      </c>
      <c r="V62" s="1153"/>
      <c r="W62" s="1152" t="str">
        <f>$W$4</f>
        <v>% Increase (for 2027/28)</v>
      </c>
      <c r="X62" s="1153" t="str">
        <f>X54</f>
        <v>2027/2028</v>
      </c>
      <c r="Y62" s="1153"/>
    </row>
    <row r="63" spans="1:25" x14ac:dyDescent="0.35">
      <c r="A63" s="352"/>
      <c r="B63" s="352"/>
      <c r="C63" s="679" t="s">
        <v>249</v>
      </c>
      <c r="D63" s="789" t="s">
        <v>250</v>
      </c>
      <c r="E63" s="1154"/>
      <c r="F63" s="679" t="s">
        <v>249</v>
      </c>
      <c r="G63" s="679" t="s">
        <v>250</v>
      </c>
      <c r="H63" s="1154"/>
      <c r="I63" s="686" t="s">
        <v>249</v>
      </c>
      <c r="J63" s="686" t="s">
        <v>250</v>
      </c>
      <c r="K63" s="1154"/>
      <c r="L63" s="686" t="s">
        <v>249</v>
      </c>
      <c r="M63" s="686" t="s">
        <v>250</v>
      </c>
      <c r="N63" s="1154"/>
      <c r="O63" s="686" t="s">
        <v>249</v>
      </c>
      <c r="P63" s="686" t="s">
        <v>250</v>
      </c>
      <c r="Q63" s="1154"/>
      <c r="R63" s="686" t="s">
        <v>249</v>
      </c>
      <c r="S63" s="686" t="s">
        <v>250</v>
      </c>
      <c r="T63" s="1152"/>
      <c r="U63" s="843" t="s">
        <v>249</v>
      </c>
      <c r="V63" s="843" t="s">
        <v>250</v>
      </c>
      <c r="W63" s="1152"/>
      <c r="X63" s="843" t="s">
        <v>249</v>
      </c>
      <c r="Y63" s="843" t="s">
        <v>250</v>
      </c>
    </row>
    <row r="64" spans="1:25" x14ac:dyDescent="0.35">
      <c r="A64" s="356"/>
      <c r="B64" s="354" t="s">
        <v>1351</v>
      </c>
      <c r="C64" s="682">
        <v>510.11</v>
      </c>
      <c r="D64" s="794">
        <v>510.11</v>
      </c>
      <c r="E64" s="357">
        <f t="shared" ref="E64:E67" si="34">(F64/C64-1)*9/12+(G64/D64-1)*3/12</f>
        <v>0.10499696143968928</v>
      </c>
      <c r="F64" s="682">
        <v>563.66999999999996</v>
      </c>
      <c r="G64" s="682">
        <v>563.66999999999996</v>
      </c>
      <c r="H64" s="357">
        <f t="shared" ref="H64:H67" si="35">(I64/F64-1)*9/12+(J64/G64-1)*3/12</f>
        <v>7.4699999999999989E-2</v>
      </c>
      <c r="I64" s="804">
        <v>605.77614899999992</v>
      </c>
      <c r="J64" s="804">
        <v>605.77614899999992</v>
      </c>
      <c r="K64" s="357">
        <f t="shared" ref="K64:K67" si="36">(L64/I64-1)*9/12+(M64/J64-1)*3/12</f>
        <v>0.12199999999999989</v>
      </c>
      <c r="L64" s="310">
        <f>I64*(1+'MSCOA - Tariff Structure'!$R$2)</f>
        <v>679.68083917799981</v>
      </c>
      <c r="M64" s="310">
        <f>J64*(1+'MSCOA - Tariff Structure'!$R$2)</f>
        <v>679.68083917799981</v>
      </c>
      <c r="N64" s="821">
        <f t="shared" si="4"/>
        <v>0.12199999999999989</v>
      </c>
      <c r="O64" s="364">
        <f>L64*(1+'MSCOA - Tariff Structure'!$R$2)</f>
        <v>762.60190155771568</v>
      </c>
      <c r="P64" s="364">
        <f>M64*(1+'MSCOA - Tariff Structure'!$R$2)</f>
        <v>762.60190155771568</v>
      </c>
      <c r="Q64" s="821">
        <f t="shared" ref="Q64:Q67" si="37">(R64/O64-1)*9/12+(S64/P64-1)*3/12</f>
        <v>0.12400000000000011</v>
      </c>
      <c r="R64" s="245">
        <f>O64*(1+'MSCOA - Tariff Structure'!$S$2)</f>
        <v>857.16453735087248</v>
      </c>
      <c r="S64" s="245">
        <f>P64*(1+'MSCOA - Tariff Structure'!$S$2)</f>
        <v>857.16453735087248</v>
      </c>
      <c r="T64" s="821">
        <f>(U64/R64-1)*9/12+(V64/S64-1)*3/12</f>
        <v>9.8999999999999977E-2</v>
      </c>
      <c r="U64" s="245">
        <f>R64*(1+'MSCOA - Tariff Structure'!$T$2)</f>
        <v>942.02382654860878</v>
      </c>
      <c r="V64" s="245">
        <f>S64*(1+'MSCOA - Tariff Structure'!$T$2)</f>
        <v>942.02382654860878</v>
      </c>
      <c r="W64" s="821">
        <f>(X64/U64-1)*9/12+(Y64/V64-1)*3/12</f>
        <v>7.1900000000000075E-2</v>
      </c>
      <c r="X64" s="364">
        <f>U64*(1+'MSCOA - Tariff Structure'!$U$2)</f>
        <v>1009.7553396774538</v>
      </c>
      <c r="Y64" s="364">
        <f>V64*(1+'MSCOA - Tariff Structure'!$U$2)</f>
        <v>1009.7553396774538</v>
      </c>
    </row>
    <row r="65" spans="1:25" x14ac:dyDescent="0.35">
      <c r="A65" s="354" t="s">
        <v>1363</v>
      </c>
      <c r="B65" s="354" t="s">
        <v>1353</v>
      </c>
      <c r="C65" s="682">
        <v>2.6393</v>
      </c>
      <c r="D65" s="794">
        <v>3.9117999999999999</v>
      </c>
      <c r="E65" s="357">
        <f t="shared" si="34"/>
        <v>0.1049899771354959</v>
      </c>
      <c r="F65" s="682">
        <v>2.9163999999999999</v>
      </c>
      <c r="G65" s="682">
        <v>4.3224999999999998</v>
      </c>
      <c r="H65" s="357">
        <f t="shared" si="35"/>
        <v>7.4699999999999989E-2</v>
      </c>
      <c r="I65" s="804">
        <v>3.13425508</v>
      </c>
      <c r="J65" s="804">
        <v>4.6453907499999998</v>
      </c>
      <c r="K65" s="357">
        <f t="shared" si="36"/>
        <v>0.12199999999999989</v>
      </c>
      <c r="L65" s="310">
        <f>I65*(1+'MSCOA - Tariff Structure'!$R$2)</f>
        <v>3.5166341997599995</v>
      </c>
      <c r="M65" s="310">
        <f>J65*(1+'MSCOA - Tariff Structure'!$R$2)</f>
        <v>5.2121284214999992</v>
      </c>
      <c r="N65" s="821">
        <f t="shared" si="4"/>
        <v>0.12199999999999989</v>
      </c>
      <c r="O65" s="364">
        <f>L65*(1+'MSCOA - Tariff Structure'!$R$2)</f>
        <v>3.9456635721307189</v>
      </c>
      <c r="P65" s="364">
        <f>M65*(1+'MSCOA - Tariff Structure'!$R$2)</f>
        <v>5.8480080889229988</v>
      </c>
      <c r="Q65" s="821">
        <f t="shared" si="37"/>
        <v>0.12400000000000011</v>
      </c>
      <c r="R65" s="245">
        <f>O65*(1+'MSCOA - Tariff Structure'!$S$2)</f>
        <v>4.4349258550749289</v>
      </c>
      <c r="S65" s="245">
        <f>P65*(1+'MSCOA - Tariff Structure'!$S$2)</f>
        <v>6.5731610919494514</v>
      </c>
      <c r="T65" s="821">
        <f>(U65/R65-1)*9/12+(V65/S65-1)*3/12</f>
        <v>9.8999999999999977E-2</v>
      </c>
      <c r="U65" s="245">
        <f>R65*(1+'MSCOA - Tariff Structure'!$T$2)</f>
        <v>4.8739835147273469</v>
      </c>
      <c r="V65" s="245">
        <f>S65*(1+'MSCOA - Tariff Structure'!$T$2)</f>
        <v>7.2239040400524468</v>
      </c>
      <c r="W65" s="821">
        <f>(X65/U65-1)*9/12+(Y65/V65-1)*3/12</f>
        <v>7.1900000000000075E-2</v>
      </c>
      <c r="X65" s="364">
        <f>U65*(1+'MSCOA - Tariff Structure'!$U$2)</f>
        <v>5.2244229294362432</v>
      </c>
      <c r="Y65" s="364">
        <f>V65*(1+'MSCOA - Tariff Structure'!$U$2)</f>
        <v>7.7433027405322186</v>
      </c>
    </row>
    <row r="66" spans="1:25" x14ac:dyDescent="0.35">
      <c r="A66" s="354" t="s">
        <v>1364</v>
      </c>
      <c r="B66" s="354" t="s">
        <v>1355</v>
      </c>
      <c r="C66" s="682">
        <v>1.4728000000000001</v>
      </c>
      <c r="D66" s="794">
        <v>2.3919000000000001</v>
      </c>
      <c r="E66" s="357">
        <f t="shared" si="34"/>
        <v>0.10502334339899044</v>
      </c>
      <c r="F66" s="682">
        <v>1.6274999999999999</v>
      </c>
      <c r="G66" s="682">
        <v>2.6429999999999998</v>
      </c>
      <c r="H66" s="357">
        <f t="shared" si="35"/>
        <v>7.4699999999999989E-2</v>
      </c>
      <c r="I66" s="804">
        <v>1.7490742500000001</v>
      </c>
      <c r="J66" s="804">
        <v>2.8404320999999997</v>
      </c>
      <c r="K66" s="357">
        <f t="shared" si="36"/>
        <v>0.12199999999999989</v>
      </c>
      <c r="L66" s="310">
        <f>I66*(1+'MSCOA - Tariff Structure'!$R$2)</f>
        <v>1.9624613084999998</v>
      </c>
      <c r="M66" s="310">
        <f>J66*(1+'MSCOA - Tariff Structure'!$R$2)</f>
        <v>3.1869648161999993</v>
      </c>
      <c r="N66" s="821">
        <f t="shared" si="4"/>
        <v>0.12199999999999989</v>
      </c>
      <c r="O66" s="364">
        <f>L66*(1+'MSCOA - Tariff Structure'!$R$2)</f>
        <v>2.2018815881369997</v>
      </c>
      <c r="P66" s="364">
        <f>M66*(1+'MSCOA - Tariff Structure'!$R$2)</f>
        <v>3.5757745237763987</v>
      </c>
      <c r="Q66" s="821">
        <f t="shared" si="37"/>
        <v>0.12400000000000011</v>
      </c>
      <c r="R66" s="245">
        <f>O66*(1+'MSCOA - Tariff Structure'!$S$2)</f>
        <v>2.474914905065988</v>
      </c>
      <c r="S66" s="245">
        <f>P66*(1+'MSCOA - Tariff Structure'!$S$2)</f>
        <v>4.0191705647246723</v>
      </c>
      <c r="T66" s="821">
        <f>(U66/R66-1)*9/12+(V66/S66-1)*3/12</f>
        <v>9.8999999999999977E-2</v>
      </c>
      <c r="U66" s="245">
        <f>R66*(1+'MSCOA - Tariff Structure'!$T$2)</f>
        <v>2.7199314806675208</v>
      </c>
      <c r="V66" s="245">
        <f>S66*(1+'MSCOA - Tariff Structure'!$T$2)</f>
        <v>4.4170684506324145</v>
      </c>
      <c r="W66" s="821">
        <f>(X66/U66-1)*9/12+(Y66/V66-1)*3/12</f>
        <v>7.1900000000000075E-2</v>
      </c>
      <c r="X66" s="364">
        <f>U66*(1+'MSCOA - Tariff Structure'!$U$2)</f>
        <v>2.9154945541275157</v>
      </c>
      <c r="Y66" s="364">
        <f>V66*(1+'MSCOA - Tariff Structure'!$U$2)</f>
        <v>4.7346556722328854</v>
      </c>
    </row>
    <row r="67" spans="1:25" x14ac:dyDescent="0.35">
      <c r="A67" s="354" t="s">
        <v>1365</v>
      </c>
      <c r="B67" s="354" t="s">
        <v>1366</v>
      </c>
      <c r="C67" s="682">
        <v>1.3668</v>
      </c>
      <c r="D67" s="794">
        <v>1.7556</v>
      </c>
      <c r="E67" s="357">
        <f t="shared" si="34"/>
        <v>0.10498690656724013</v>
      </c>
      <c r="F67" s="682">
        <v>1.5103</v>
      </c>
      <c r="G67" s="682">
        <v>1.9399</v>
      </c>
      <c r="H67" s="357">
        <f t="shared" si="35"/>
        <v>7.4699999999999989E-2</v>
      </c>
      <c r="I67" s="804">
        <v>1.6231194099999999</v>
      </c>
      <c r="J67" s="804">
        <v>2.0848105299999999</v>
      </c>
      <c r="K67" s="357">
        <f t="shared" si="36"/>
        <v>0.12199999999999989</v>
      </c>
      <c r="L67" s="310">
        <f>I67*(1+'MSCOA - Tariff Structure'!$R$2)</f>
        <v>1.8211399780199997</v>
      </c>
      <c r="M67" s="310">
        <f>J67*(1+'MSCOA - Tariff Structure'!$R$2)</f>
        <v>2.3391574146599998</v>
      </c>
      <c r="N67" s="821">
        <f t="shared" si="4"/>
        <v>0.12199999999999989</v>
      </c>
      <c r="O67" s="364">
        <f>L67*(1+'MSCOA - Tariff Structure'!$R$2)</f>
        <v>2.0433190553384395</v>
      </c>
      <c r="P67" s="364">
        <f>M67*(1+'MSCOA - Tariff Structure'!$R$2)</f>
        <v>2.6245346192485197</v>
      </c>
      <c r="Q67" s="821">
        <f t="shared" si="37"/>
        <v>0.12400000000000011</v>
      </c>
      <c r="R67" s="245">
        <f>O67*(1+'MSCOA - Tariff Structure'!$S$2)</f>
        <v>2.2966906182004063</v>
      </c>
      <c r="S67" s="245">
        <f>P67*(1+'MSCOA - Tariff Structure'!$S$2)</f>
        <v>2.9499769120353365</v>
      </c>
      <c r="T67" s="821">
        <f>(U67/R67-1)*9/12+(V67/S67-1)*3/12</f>
        <v>9.8999999999999977E-2</v>
      </c>
      <c r="U67" s="245">
        <f>R67*(1+'MSCOA - Tariff Structure'!$T$2)</f>
        <v>2.5240629894022466</v>
      </c>
      <c r="V67" s="245">
        <f>S67*(1+'MSCOA - Tariff Structure'!$T$2)</f>
        <v>3.2420246263268346</v>
      </c>
      <c r="W67" s="821">
        <f>(X67/U67-1)*9/12+(Y67/V67-1)*3/12</f>
        <v>7.1900000000000075E-2</v>
      </c>
      <c r="X67" s="364">
        <f>U67*(1+'MSCOA - Tariff Structure'!$U$2)</f>
        <v>2.7055431183402683</v>
      </c>
      <c r="Y67" s="364">
        <f>V67*(1+'MSCOA - Tariff Structure'!$U$2)</f>
        <v>3.4751261969597342</v>
      </c>
    </row>
    <row r="68" spans="1:25" x14ac:dyDescent="0.35">
      <c r="A68" s="352"/>
      <c r="B68" s="352" t="s">
        <v>1344</v>
      </c>
      <c r="C68" s="684"/>
      <c r="D68" s="789"/>
      <c r="E68" s="317">
        <f>AVERAGE(E64:E67)</f>
        <v>0.10499929713535394</v>
      </c>
      <c r="F68" s="684"/>
      <c r="G68" s="679"/>
      <c r="H68" s="543">
        <f>AVERAGE(H64:H67)</f>
        <v>7.4699999999999989E-2</v>
      </c>
      <c r="I68" s="686"/>
      <c r="J68" s="686"/>
      <c r="K68" s="543">
        <f>AVERAGE(K64:K67)</f>
        <v>0.12199999999999989</v>
      </c>
      <c r="L68" s="686"/>
      <c r="M68" s="686"/>
      <c r="N68" s="543">
        <f>AVERAGE(N64:N67)</f>
        <v>0.12199999999999989</v>
      </c>
      <c r="O68" s="822"/>
      <c r="P68" s="822"/>
      <c r="Q68" s="543">
        <f>AVERAGE(Q64:Q67)</f>
        <v>0.12400000000000011</v>
      </c>
      <c r="R68" s="822"/>
      <c r="S68" s="822"/>
      <c r="T68" s="543">
        <f>AVERAGE(T64:T67)</f>
        <v>9.8999999999999977E-2</v>
      </c>
      <c r="U68" s="822"/>
      <c r="V68" s="822"/>
      <c r="W68" s="543">
        <f>AVERAGE(W64:W67)</f>
        <v>7.1900000000000075E-2</v>
      </c>
      <c r="X68" s="822"/>
      <c r="Y68" s="822"/>
    </row>
    <row r="69" spans="1:25" x14ac:dyDescent="0.35">
      <c r="A69" s="356"/>
      <c r="B69" s="356"/>
      <c r="C69" s="681"/>
      <c r="D69" s="792"/>
      <c r="E69" s="356"/>
      <c r="F69" s="681"/>
      <c r="G69" s="681"/>
      <c r="H69" s="357"/>
      <c r="I69" s="37"/>
      <c r="J69" s="37"/>
      <c r="K69" s="357"/>
      <c r="L69" s="37"/>
      <c r="M69" s="37"/>
      <c r="N69" s="248"/>
      <c r="O69" s="245"/>
      <c r="P69" s="245"/>
      <c r="Q69" s="248"/>
      <c r="R69" s="245"/>
      <c r="S69" s="245"/>
      <c r="T69" s="248"/>
      <c r="U69" s="245"/>
      <c r="V69" s="245"/>
      <c r="W69" s="248"/>
      <c r="X69" s="245"/>
      <c r="Y69" s="245"/>
    </row>
    <row r="70" spans="1:25" ht="15" customHeight="1" x14ac:dyDescent="0.35">
      <c r="A70" s="352" t="s">
        <v>254</v>
      </c>
      <c r="B70" s="352"/>
      <c r="C70" s="1161" t="str">
        <f>+$C$4</f>
        <v>2020/2021</v>
      </c>
      <c r="D70" s="1162"/>
      <c r="E70" s="1154" t="str">
        <f>+$E$4</f>
        <v>% Increase (for 21/22)</v>
      </c>
      <c r="F70" s="1158" t="str">
        <f>+F62</f>
        <v>2021/2022</v>
      </c>
      <c r="G70" s="1159"/>
      <c r="H70" s="1154" t="str">
        <f>H62</f>
        <v>% Increase (for 22/23)</v>
      </c>
      <c r="I70" s="1158" t="str">
        <f>I62</f>
        <v>2022/2023</v>
      </c>
      <c r="J70" s="1159"/>
      <c r="K70" s="1154" t="str">
        <f>K62</f>
        <v>% Increase (for 2023/24)</v>
      </c>
      <c r="L70" s="1158" t="str">
        <f>L62</f>
        <v>2023/2024</v>
      </c>
      <c r="M70" s="1159"/>
      <c r="N70" s="1154" t="str">
        <f>$N$4</f>
        <v>% Increase (for 2024/25)</v>
      </c>
      <c r="O70" s="1158" t="str">
        <f>O62</f>
        <v>2024/2025</v>
      </c>
      <c r="P70" s="1159"/>
      <c r="Q70" s="1154" t="str">
        <f>$Q$4</f>
        <v>% Increase (for 2025/26)</v>
      </c>
      <c r="R70" s="1158" t="str">
        <f>R62</f>
        <v>2025/2026</v>
      </c>
      <c r="S70" s="1159"/>
      <c r="T70" s="1152" t="str">
        <f>$T$4</f>
        <v>% Increase (for 2026/27)</v>
      </c>
      <c r="U70" s="1153" t="str">
        <f>U62</f>
        <v>2026/2027</v>
      </c>
      <c r="V70" s="1153"/>
      <c r="W70" s="1152" t="str">
        <f>$W$4</f>
        <v>% Increase (for 2027/28)</v>
      </c>
      <c r="X70" s="1153" t="str">
        <f>X62</f>
        <v>2027/2028</v>
      </c>
      <c r="Y70" s="1153"/>
    </row>
    <row r="71" spans="1:25" x14ac:dyDescent="0.35">
      <c r="A71" s="352"/>
      <c r="B71" s="352"/>
      <c r="C71" s="679" t="s">
        <v>249</v>
      </c>
      <c r="D71" s="789" t="s">
        <v>250</v>
      </c>
      <c r="E71" s="1154"/>
      <c r="F71" s="679" t="s">
        <v>249</v>
      </c>
      <c r="G71" s="679" t="s">
        <v>250</v>
      </c>
      <c r="H71" s="1154"/>
      <c r="I71" s="686" t="s">
        <v>249</v>
      </c>
      <c r="J71" s="686" t="s">
        <v>250</v>
      </c>
      <c r="K71" s="1154"/>
      <c r="L71" s="686" t="s">
        <v>249</v>
      </c>
      <c r="M71" s="686" t="s">
        <v>250</v>
      </c>
      <c r="N71" s="1154"/>
      <c r="O71" s="686" t="s">
        <v>249</v>
      </c>
      <c r="P71" s="686" t="s">
        <v>250</v>
      </c>
      <c r="Q71" s="1154"/>
      <c r="R71" s="686" t="s">
        <v>249</v>
      </c>
      <c r="S71" s="686" t="s">
        <v>250</v>
      </c>
      <c r="T71" s="1152"/>
      <c r="U71" s="843" t="s">
        <v>249</v>
      </c>
      <c r="V71" s="843" t="s">
        <v>250</v>
      </c>
      <c r="W71" s="1152"/>
      <c r="X71" s="843" t="s">
        <v>249</v>
      </c>
      <c r="Y71" s="843" t="s">
        <v>250</v>
      </c>
    </row>
    <row r="72" spans="1:25" x14ac:dyDescent="0.35">
      <c r="A72" s="356"/>
      <c r="B72" s="354" t="s">
        <v>255</v>
      </c>
      <c r="C72" s="37">
        <v>3697.25</v>
      </c>
      <c r="D72" s="793">
        <v>3697.25</v>
      </c>
      <c r="E72" s="357">
        <f t="shared" ref="E72:E77" si="38">(F72/C72-1)*9/12+(G72/D72-1)*3/12</f>
        <v>4.4000270471296288E-2</v>
      </c>
      <c r="F72" s="682">
        <v>3859.93</v>
      </c>
      <c r="G72" s="682">
        <v>3859.93</v>
      </c>
      <c r="H72" s="357">
        <f t="shared" ref="H72:H77" si="39">(I72/F72-1)*9/12+(J72/G72-1)*3/12</f>
        <v>7.4699999999999989E-2</v>
      </c>
      <c r="I72" s="310">
        <v>4148.2667709999996</v>
      </c>
      <c r="J72" s="310">
        <v>4148.2667709999996</v>
      </c>
      <c r="K72" s="357">
        <f t="shared" ref="K72:K77" si="40">(L72/I72-1)*9/12+(M72/J72-1)*3/12</f>
        <v>0.15100000000000002</v>
      </c>
      <c r="L72" s="310">
        <f>I72*(1+'MSCOA - Tariff Structure'!$Q$2)</f>
        <v>4774.655053421</v>
      </c>
      <c r="M72" s="310">
        <f>J72*(1+'MSCOA - Tariff Structure'!$Q$2)</f>
        <v>4774.655053421</v>
      </c>
      <c r="N72" s="821">
        <f t="shared" si="4"/>
        <v>0.12199999999999989</v>
      </c>
      <c r="O72" s="364">
        <f>L72*(1+'MSCOA - Tariff Structure'!$R$2)</f>
        <v>5357.1629699383611</v>
      </c>
      <c r="P72" s="364">
        <f>M72*(1+'MSCOA - Tariff Structure'!$R$2)</f>
        <v>5357.1629699383611</v>
      </c>
      <c r="Q72" s="821">
        <f t="shared" ref="Q72:Q77" si="41">(R72/O72-1)*9/12+(S72/P72-1)*3/12</f>
        <v>0.12400000000000011</v>
      </c>
      <c r="R72" s="245">
        <f>O72*(1+'MSCOA - Tariff Structure'!$S$2)</f>
        <v>6021.4511782107184</v>
      </c>
      <c r="S72" s="245">
        <f>P72*(1+'MSCOA - Tariff Structure'!$S$2)</f>
        <v>6021.4511782107184</v>
      </c>
      <c r="T72" s="821">
        <f t="shared" ref="T72:T77" si="42">(U72/R72-1)*9/12+(V72/S72-1)*3/12</f>
        <v>9.8999999999999977E-2</v>
      </c>
      <c r="U72" s="245">
        <f>R72*(1+'MSCOA - Tariff Structure'!$T$2)</f>
        <v>6617.5748448535796</v>
      </c>
      <c r="V72" s="245">
        <f>S72*(1+'MSCOA - Tariff Structure'!$T$2)</f>
        <v>6617.5748448535796</v>
      </c>
      <c r="W72" s="821">
        <f t="shared" ref="W72:W77" si="43">(X72/U72-1)*9/12+(Y72/V72-1)*3/12</f>
        <v>7.1900000000000075E-2</v>
      </c>
      <c r="X72" s="364">
        <f>U72*(1+'MSCOA - Tariff Structure'!$U$2)</f>
        <v>7093.3784761985526</v>
      </c>
      <c r="Y72" s="364">
        <f>V72*(1+'MSCOA - Tariff Structure'!$U$2)</f>
        <v>7093.3784761985526</v>
      </c>
    </row>
    <row r="73" spans="1:25" x14ac:dyDescent="0.35">
      <c r="A73" s="354" t="s">
        <v>256</v>
      </c>
      <c r="B73" s="354" t="s">
        <v>1367</v>
      </c>
      <c r="C73" s="310">
        <v>50.24</v>
      </c>
      <c r="D73" s="793">
        <v>50.24</v>
      </c>
      <c r="E73" s="357">
        <f t="shared" si="38"/>
        <v>0.14596934713375798</v>
      </c>
      <c r="F73" s="682">
        <v>57.573500000000003</v>
      </c>
      <c r="G73" s="682">
        <v>57.573500000000003</v>
      </c>
      <c r="H73" s="357">
        <f t="shared" si="39"/>
        <v>7.4699999999999989E-2</v>
      </c>
      <c r="I73" s="310">
        <v>61.874240450000002</v>
      </c>
      <c r="J73" s="310">
        <v>61.874240450000002</v>
      </c>
      <c r="K73" s="357">
        <f t="shared" si="40"/>
        <v>0.15100000000000002</v>
      </c>
      <c r="L73" s="310">
        <f>I73*(1+'MSCOA - Tariff Structure'!$Q$2)</f>
        <v>71.217250757949998</v>
      </c>
      <c r="M73" s="310">
        <f>J73*(1+'MSCOA - Tariff Structure'!$Q$2)</f>
        <v>71.217250757949998</v>
      </c>
      <c r="N73" s="821">
        <f t="shared" si="4"/>
        <v>0.12199999999999989</v>
      </c>
      <c r="O73" s="364">
        <f>L73*(1+'MSCOA - Tariff Structure'!$R$2)</f>
        <v>79.905755350419895</v>
      </c>
      <c r="P73" s="364">
        <f>M73*(1+'MSCOA - Tariff Structure'!$R$2)</f>
        <v>79.905755350419895</v>
      </c>
      <c r="Q73" s="821">
        <f t="shared" si="41"/>
        <v>0.12400000000000011</v>
      </c>
      <c r="R73" s="245">
        <f>O73*(1+'MSCOA - Tariff Structure'!$S$2)</f>
        <v>89.814069013871972</v>
      </c>
      <c r="S73" s="245">
        <f>P73*(1+'MSCOA - Tariff Structure'!$S$2)</f>
        <v>89.814069013871972</v>
      </c>
      <c r="T73" s="821">
        <f t="shared" si="42"/>
        <v>9.8999999999999977E-2</v>
      </c>
      <c r="U73" s="245">
        <f>R73*(1+'MSCOA - Tariff Structure'!$T$2)</f>
        <v>98.705661846245292</v>
      </c>
      <c r="V73" s="245">
        <f>S73*(1+'MSCOA - Tariff Structure'!$T$2)</f>
        <v>98.705661846245292</v>
      </c>
      <c r="W73" s="821">
        <f t="shared" si="43"/>
        <v>7.1900000000000075E-2</v>
      </c>
      <c r="X73" s="364">
        <f>U73*(1+'MSCOA - Tariff Structure'!$U$2)</f>
        <v>105.80259893299034</v>
      </c>
      <c r="Y73" s="364">
        <f>V73*(1+'MSCOA - Tariff Structure'!$U$2)</f>
        <v>105.80259893299034</v>
      </c>
    </row>
    <row r="74" spans="1:25" x14ac:dyDescent="0.35">
      <c r="A74" s="354" t="s">
        <v>257</v>
      </c>
      <c r="B74" s="354" t="s">
        <v>1368</v>
      </c>
      <c r="C74" s="310">
        <v>140.02000000000001</v>
      </c>
      <c r="D74" s="793">
        <v>140.02000000000001</v>
      </c>
      <c r="E74" s="357">
        <f t="shared" si="38"/>
        <v>0.14588415940579913</v>
      </c>
      <c r="F74" s="682">
        <v>160.44669999999999</v>
      </c>
      <c r="G74" s="682">
        <v>160.44669999999999</v>
      </c>
      <c r="H74" s="357">
        <f t="shared" si="39"/>
        <v>7.4699999999999989E-2</v>
      </c>
      <c r="I74" s="310">
        <v>172.43206849000001</v>
      </c>
      <c r="J74" s="310">
        <v>172.43206849000001</v>
      </c>
      <c r="K74" s="357">
        <f t="shared" si="40"/>
        <v>0.15100000000000002</v>
      </c>
      <c r="L74" s="310">
        <f>I74*(1+'MSCOA - Tariff Structure'!$Q$2)</f>
        <v>198.46931083199001</v>
      </c>
      <c r="M74" s="310">
        <f>J74*(1+'MSCOA - Tariff Structure'!$Q$2)</f>
        <v>198.46931083199001</v>
      </c>
      <c r="N74" s="821">
        <f t="shared" si="4"/>
        <v>0.12199999999999989</v>
      </c>
      <c r="O74" s="364">
        <f>L74*(1+'MSCOA - Tariff Structure'!$R$2)</f>
        <v>222.68256675349278</v>
      </c>
      <c r="P74" s="364">
        <f>M74*(1+'MSCOA - Tariff Structure'!$R$2)</f>
        <v>222.68256675349278</v>
      </c>
      <c r="Q74" s="821">
        <f t="shared" si="41"/>
        <v>0.12400000000000011</v>
      </c>
      <c r="R74" s="245">
        <f>O74*(1+'MSCOA - Tariff Structure'!$S$2)</f>
        <v>250.2952050309259</v>
      </c>
      <c r="S74" s="245">
        <f>P74*(1+'MSCOA - Tariff Structure'!$S$2)</f>
        <v>250.2952050309259</v>
      </c>
      <c r="T74" s="821">
        <f t="shared" si="42"/>
        <v>9.8999999999999977E-2</v>
      </c>
      <c r="U74" s="245">
        <f>R74*(1+'MSCOA - Tariff Structure'!$T$2)</f>
        <v>275.07443032898755</v>
      </c>
      <c r="V74" s="245">
        <f>S74*(1+'MSCOA - Tariff Structure'!$T$2)</f>
        <v>275.07443032898755</v>
      </c>
      <c r="W74" s="821">
        <f t="shared" si="43"/>
        <v>7.1900000000000075E-2</v>
      </c>
      <c r="X74" s="364">
        <f>U74*(1+'MSCOA - Tariff Structure'!$U$2)</f>
        <v>294.85228186964179</v>
      </c>
      <c r="Y74" s="364">
        <f>V74*(1+'MSCOA - Tariff Structure'!$U$2)</f>
        <v>294.85228186964179</v>
      </c>
    </row>
    <row r="75" spans="1:25" x14ac:dyDescent="0.35">
      <c r="A75" s="354" t="s">
        <v>258</v>
      </c>
      <c r="B75" s="354" t="s">
        <v>1353</v>
      </c>
      <c r="C75" s="37">
        <v>1.724</v>
      </c>
      <c r="D75" s="793">
        <v>3.3927999999999998</v>
      </c>
      <c r="E75" s="357">
        <f t="shared" si="38"/>
        <v>4.3976875966630136E-2</v>
      </c>
      <c r="F75" s="682">
        <v>1.7998000000000001</v>
      </c>
      <c r="G75" s="682">
        <v>3.5421</v>
      </c>
      <c r="H75" s="357">
        <f t="shared" si="39"/>
        <v>7.4699999999999989E-2</v>
      </c>
      <c r="I75" s="804">
        <v>1.9342450600000001</v>
      </c>
      <c r="J75" s="804">
        <v>3.8066948700000003</v>
      </c>
      <c r="K75" s="357">
        <f t="shared" si="40"/>
        <v>0.15100000000000002</v>
      </c>
      <c r="L75" s="310">
        <f>I75*(1+'MSCOA - Tariff Structure'!$Q$2)</f>
        <v>2.2263160640600002</v>
      </c>
      <c r="M75" s="310">
        <f>J75*(1+'MSCOA - Tariff Structure'!$Q$2)</f>
        <v>4.3815057953700007</v>
      </c>
      <c r="N75" s="821">
        <f t="shared" ref="N75:N135" si="44">(O75/L75-1)*9/12+(P75/M75-1)*3/12</f>
        <v>0.12199999999999989</v>
      </c>
      <c r="O75" s="364">
        <f>L75*(1+'MSCOA - Tariff Structure'!$R$2)</f>
        <v>2.4979266238753199</v>
      </c>
      <c r="P75" s="364">
        <f>M75*(1+'MSCOA - Tariff Structure'!$R$2)</f>
        <v>4.9160495024051407</v>
      </c>
      <c r="Q75" s="821">
        <f t="shared" si="41"/>
        <v>0.12400000000000011</v>
      </c>
      <c r="R75" s="245">
        <f>O75*(1+'MSCOA - Tariff Structure'!$S$2)</f>
        <v>2.8076695252358599</v>
      </c>
      <c r="S75" s="245">
        <f>P75*(1+'MSCOA - Tariff Structure'!$S$2)</f>
        <v>5.5256396407033783</v>
      </c>
      <c r="T75" s="821">
        <f t="shared" si="42"/>
        <v>9.8999999999999977E-2</v>
      </c>
      <c r="U75" s="245">
        <f>R75*(1+'MSCOA - Tariff Structure'!$T$2)</f>
        <v>3.08562880823421</v>
      </c>
      <c r="V75" s="245">
        <f>S75*(1+'MSCOA - Tariff Structure'!$T$2)</f>
        <v>6.0726779651330123</v>
      </c>
      <c r="W75" s="821">
        <f t="shared" si="43"/>
        <v>7.1900000000000075E-2</v>
      </c>
      <c r="X75" s="364">
        <f>U75*(1+'MSCOA - Tariff Structure'!$U$2)</f>
        <v>3.3074855195462498</v>
      </c>
      <c r="Y75" s="364">
        <f>V75*(1+'MSCOA - Tariff Structure'!$U$2)</f>
        <v>6.5093035108260766</v>
      </c>
    </row>
    <row r="76" spans="1:25" x14ac:dyDescent="0.35">
      <c r="A76" s="354" t="s">
        <v>259</v>
      </c>
      <c r="B76" s="354" t="s">
        <v>1355</v>
      </c>
      <c r="C76" s="37">
        <v>1.1309</v>
      </c>
      <c r="D76" s="793">
        <v>1.7378</v>
      </c>
      <c r="E76" s="357">
        <f t="shared" si="38"/>
        <v>4.3951382003448169E-2</v>
      </c>
      <c r="F76" s="682">
        <v>1.1806000000000001</v>
      </c>
      <c r="G76" s="682">
        <v>1.8142</v>
      </c>
      <c r="H76" s="357">
        <f t="shared" si="39"/>
        <v>7.4699999999999989E-2</v>
      </c>
      <c r="I76" s="804">
        <v>1.26879082</v>
      </c>
      <c r="J76" s="804">
        <v>1.9497207400000001</v>
      </c>
      <c r="K76" s="357">
        <f t="shared" si="40"/>
        <v>0.15100000000000002</v>
      </c>
      <c r="L76" s="310">
        <f>I76*(1+'MSCOA - Tariff Structure'!$Q$2)</f>
        <v>1.46037823382</v>
      </c>
      <c r="M76" s="310">
        <f>J76*(1+'MSCOA - Tariff Structure'!$Q$2)</f>
        <v>2.2441285717400001</v>
      </c>
      <c r="N76" s="821">
        <f t="shared" si="44"/>
        <v>0.12199999999999989</v>
      </c>
      <c r="O76" s="364">
        <f>L76*(1+'MSCOA - Tariff Structure'!$R$2)</f>
        <v>1.6385443783460398</v>
      </c>
      <c r="P76" s="364">
        <f>M76*(1+'MSCOA - Tariff Structure'!$R$2)</f>
        <v>2.5179122574922799</v>
      </c>
      <c r="Q76" s="821">
        <f t="shared" si="41"/>
        <v>0.12400000000000011</v>
      </c>
      <c r="R76" s="245">
        <f>O76*(1+'MSCOA - Tariff Structure'!$S$2)</f>
        <v>1.8417238812609489</v>
      </c>
      <c r="S76" s="245">
        <f>P76*(1+'MSCOA - Tariff Structure'!$S$2)</f>
        <v>2.8301333774213226</v>
      </c>
      <c r="T76" s="821">
        <f t="shared" si="42"/>
        <v>9.8999999999999977E-2</v>
      </c>
      <c r="U76" s="245">
        <f>R76*(1+'MSCOA - Tariff Structure'!$T$2)</f>
        <v>2.0240545455057828</v>
      </c>
      <c r="V76" s="245">
        <f>S76*(1+'MSCOA - Tariff Structure'!$T$2)</f>
        <v>3.1103165817860337</v>
      </c>
      <c r="W76" s="821">
        <f t="shared" si="43"/>
        <v>7.1900000000000075E-2</v>
      </c>
      <c r="X76" s="364">
        <f>U76*(1+'MSCOA - Tariff Structure'!$U$2)</f>
        <v>2.1695840673276487</v>
      </c>
      <c r="Y76" s="364">
        <f>V76*(1+'MSCOA - Tariff Structure'!$U$2)</f>
        <v>3.3339483440164499</v>
      </c>
    </row>
    <row r="77" spans="1:25" x14ac:dyDescent="0.35">
      <c r="A77" s="354" t="s">
        <v>260</v>
      </c>
      <c r="B77" s="354" t="s">
        <v>1369</v>
      </c>
      <c r="C77" s="37">
        <v>1.0481</v>
      </c>
      <c r="D77" s="793">
        <v>1.6274</v>
      </c>
      <c r="E77" s="357">
        <f t="shared" si="38"/>
        <v>4.4058962268105573E-2</v>
      </c>
      <c r="F77" s="682">
        <v>1.0943000000000001</v>
      </c>
      <c r="G77" s="682">
        <v>1.6990000000000001</v>
      </c>
      <c r="H77" s="357">
        <f t="shared" si="39"/>
        <v>7.4699999999999989E-2</v>
      </c>
      <c r="I77" s="804">
        <v>1.1760442100000001</v>
      </c>
      <c r="J77" s="804">
        <v>1.8259153000000001</v>
      </c>
      <c r="K77" s="357">
        <f t="shared" si="40"/>
        <v>0.15100000000000002</v>
      </c>
      <c r="L77" s="310">
        <f>I77*(1+'MSCOA - Tariff Structure'!$Q$2)</f>
        <v>1.3536268857100002</v>
      </c>
      <c r="M77" s="310">
        <f>J77*(1+'MSCOA - Tariff Structure'!$Q$2)</f>
        <v>2.1016285103000003</v>
      </c>
      <c r="N77" s="821">
        <f t="shared" si="44"/>
        <v>0.12199999999999989</v>
      </c>
      <c r="O77" s="364">
        <f>L77*(1+'MSCOA - Tariff Structure'!$R$2)</f>
        <v>1.5187693657666201</v>
      </c>
      <c r="P77" s="364">
        <f>M77*(1+'MSCOA - Tariff Structure'!$R$2)</f>
        <v>2.3580271885566</v>
      </c>
      <c r="Q77" s="821">
        <f t="shared" si="41"/>
        <v>0.12400000000000011</v>
      </c>
      <c r="R77" s="245">
        <f>O77*(1+'MSCOA - Tariff Structure'!$S$2)</f>
        <v>1.7070967671216812</v>
      </c>
      <c r="S77" s="245">
        <f>P77*(1+'MSCOA - Tariff Structure'!$S$2)</f>
        <v>2.6504225599376188</v>
      </c>
      <c r="T77" s="821">
        <f t="shared" si="42"/>
        <v>9.8999999999999977E-2</v>
      </c>
      <c r="U77" s="245">
        <f>R77*(1+'MSCOA - Tariff Structure'!$T$2)</f>
        <v>1.8760993470667275</v>
      </c>
      <c r="V77" s="245">
        <f>S77*(1+'MSCOA - Tariff Structure'!$T$2)</f>
        <v>2.912814393371443</v>
      </c>
      <c r="W77" s="821">
        <f t="shared" si="43"/>
        <v>7.1900000000000075E-2</v>
      </c>
      <c r="X77" s="364">
        <f>U77*(1+'MSCOA - Tariff Structure'!$U$2)</f>
        <v>2.0109908901208255</v>
      </c>
      <c r="Y77" s="364">
        <f>V77*(1+'MSCOA - Tariff Structure'!$U$2)</f>
        <v>3.12224574825485</v>
      </c>
    </row>
    <row r="78" spans="1:25" x14ac:dyDescent="0.35">
      <c r="A78" s="352"/>
      <c r="B78" s="352" t="s">
        <v>1344</v>
      </c>
      <c r="C78" s="679"/>
      <c r="D78" s="789"/>
      <c r="E78" s="317">
        <f>AVERAGE(E72:E77)</f>
        <v>7.7973499541506217E-2</v>
      </c>
      <c r="F78" s="679"/>
      <c r="G78" s="679"/>
      <c r="H78" s="543">
        <f>AVERAGE(H73:H77)</f>
        <v>7.4699999999999989E-2</v>
      </c>
      <c r="I78" s="686"/>
      <c r="J78" s="686"/>
      <c r="K78" s="543">
        <f>AVERAGE(K72:K77)</f>
        <v>0.15100000000000002</v>
      </c>
      <c r="L78" s="686"/>
      <c r="M78" s="686"/>
      <c r="N78" s="543">
        <f>AVERAGE(N72:N77)</f>
        <v>0.12199999999999989</v>
      </c>
      <c r="O78" s="822"/>
      <c r="P78" s="822"/>
      <c r="Q78" s="543">
        <f>AVERAGE(Q72:Q77)</f>
        <v>0.12400000000000011</v>
      </c>
      <c r="R78" s="822"/>
      <c r="S78" s="822"/>
      <c r="T78" s="543">
        <f>AVERAGE(T72:T77)</f>
        <v>9.8999999999999977E-2</v>
      </c>
      <c r="U78" s="822"/>
      <c r="V78" s="822"/>
      <c r="W78" s="543">
        <f>AVERAGE(W72:W77)</f>
        <v>7.1900000000000075E-2</v>
      </c>
      <c r="X78" s="822"/>
      <c r="Y78" s="822"/>
    </row>
    <row r="79" spans="1:25" x14ac:dyDescent="0.35">
      <c r="A79" s="356"/>
      <c r="B79" s="356"/>
      <c r="C79" s="681"/>
      <c r="D79" s="792"/>
      <c r="E79" s="356"/>
      <c r="F79" s="681"/>
      <c r="G79" s="681"/>
      <c r="H79" s="357"/>
      <c r="I79" s="37"/>
      <c r="J79" s="37"/>
      <c r="K79" s="357"/>
      <c r="L79" s="37"/>
      <c r="M79" s="37"/>
      <c r="N79" s="248"/>
      <c r="O79" s="245"/>
      <c r="P79" s="245"/>
      <c r="Q79" s="248"/>
      <c r="R79" s="245"/>
      <c r="S79" s="245"/>
      <c r="T79" s="248"/>
      <c r="U79" s="245"/>
      <c r="V79" s="245"/>
      <c r="W79" s="248"/>
      <c r="X79" s="245"/>
      <c r="Y79" s="245"/>
    </row>
    <row r="80" spans="1:25" ht="15" customHeight="1" x14ac:dyDescent="0.35">
      <c r="A80" s="352" t="s">
        <v>261</v>
      </c>
      <c r="B80" s="352"/>
      <c r="C80" s="1161" t="str">
        <f>+$C$4</f>
        <v>2020/2021</v>
      </c>
      <c r="D80" s="1162"/>
      <c r="E80" s="1154" t="str">
        <f>+$E$4</f>
        <v>% Increase (for 21/22)</v>
      </c>
      <c r="F80" s="1158" t="str">
        <f>+F70</f>
        <v>2021/2022</v>
      </c>
      <c r="G80" s="1159"/>
      <c r="H80" s="1154" t="str">
        <f>H70</f>
        <v>% Increase (for 22/23)</v>
      </c>
      <c r="I80" s="1158" t="str">
        <f>I70</f>
        <v>2022/2023</v>
      </c>
      <c r="J80" s="1159"/>
      <c r="K80" s="1154" t="str">
        <f>K70</f>
        <v>% Increase (for 2023/24)</v>
      </c>
      <c r="L80" s="1158" t="str">
        <f>L70</f>
        <v>2023/2024</v>
      </c>
      <c r="M80" s="1159"/>
      <c r="N80" s="1154" t="str">
        <f>$N$4</f>
        <v>% Increase (for 2024/25)</v>
      </c>
      <c r="O80" s="1158" t="str">
        <f>O70</f>
        <v>2024/2025</v>
      </c>
      <c r="P80" s="1159"/>
      <c r="Q80" s="1154" t="str">
        <f>$Q$4</f>
        <v>% Increase (for 2025/26)</v>
      </c>
      <c r="R80" s="1158" t="str">
        <f>R70</f>
        <v>2025/2026</v>
      </c>
      <c r="S80" s="1159"/>
      <c r="T80" s="1152" t="str">
        <f>$T$4</f>
        <v>% Increase (for 2026/27)</v>
      </c>
      <c r="U80" s="1153" t="str">
        <f>U70</f>
        <v>2026/2027</v>
      </c>
      <c r="V80" s="1153"/>
      <c r="W80" s="1152" t="str">
        <f>$W$4</f>
        <v>% Increase (for 2027/28)</v>
      </c>
      <c r="X80" s="1153" t="str">
        <f>X70</f>
        <v>2027/2028</v>
      </c>
      <c r="Y80" s="1153"/>
    </row>
    <row r="81" spans="1:25" x14ac:dyDescent="0.35">
      <c r="A81" s="352"/>
      <c r="B81" s="352"/>
      <c r="C81" s="679" t="s">
        <v>249</v>
      </c>
      <c r="D81" s="789" t="s">
        <v>250</v>
      </c>
      <c r="E81" s="1154"/>
      <c r="F81" s="679" t="s">
        <v>249</v>
      </c>
      <c r="G81" s="679" t="s">
        <v>250</v>
      </c>
      <c r="H81" s="1154"/>
      <c r="I81" s="686" t="s">
        <v>249</v>
      </c>
      <c r="J81" s="686" t="s">
        <v>250</v>
      </c>
      <c r="K81" s="1154"/>
      <c r="L81" s="686" t="s">
        <v>249</v>
      </c>
      <c r="M81" s="686" t="s">
        <v>250</v>
      </c>
      <c r="N81" s="1154"/>
      <c r="O81" s="686" t="s">
        <v>249</v>
      </c>
      <c r="P81" s="686" t="s">
        <v>250</v>
      </c>
      <c r="Q81" s="1154"/>
      <c r="R81" s="686" t="s">
        <v>249</v>
      </c>
      <c r="S81" s="686" t="s">
        <v>250</v>
      </c>
      <c r="T81" s="1152"/>
      <c r="U81" s="843" t="s">
        <v>249</v>
      </c>
      <c r="V81" s="843" t="s">
        <v>250</v>
      </c>
      <c r="W81" s="1152"/>
      <c r="X81" s="843" t="s">
        <v>249</v>
      </c>
      <c r="Y81" s="843" t="s">
        <v>250</v>
      </c>
    </row>
    <row r="82" spans="1:25" x14ac:dyDescent="0.35">
      <c r="A82" s="356"/>
      <c r="B82" s="354" t="s">
        <v>255</v>
      </c>
      <c r="C82" s="37">
        <v>2449.85</v>
      </c>
      <c r="D82" s="793">
        <v>2449.85</v>
      </c>
      <c r="E82" s="357">
        <f t="shared" ref="E82:E87" si="45">(F82/C82-1)*9/12+(G82/D82-1)*3/12</f>
        <v>4.3998285609323062E-2</v>
      </c>
      <c r="F82" s="682">
        <v>2557.6392000000001</v>
      </c>
      <c r="G82" s="682">
        <v>2557.6392000000001</v>
      </c>
      <c r="H82" s="357">
        <f t="shared" ref="H82:H87" si="46">(I82/F82-1)*9/12+(J82/G82-1)*3/12</f>
        <v>7.4699999999999989E-2</v>
      </c>
      <c r="I82" s="310">
        <v>2748.6948482400003</v>
      </c>
      <c r="J82" s="310">
        <v>2748.6948482400003</v>
      </c>
      <c r="K82" s="357">
        <f t="shared" ref="K82:K87" si="47">(L82/I82-1)*9/12+(M82/J82-1)*3/12</f>
        <v>0.15100000000000002</v>
      </c>
      <c r="L82" s="310">
        <f>I82*(1+'MSCOA - Tariff Structure'!$Q$2)</f>
        <v>3163.7477703242403</v>
      </c>
      <c r="M82" s="310">
        <f>J82*(1+'MSCOA - Tariff Structure'!$Q$2)</f>
        <v>3163.7477703242403</v>
      </c>
      <c r="N82" s="821">
        <f t="shared" si="44"/>
        <v>0.12199999999999989</v>
      </c>
      <c r="O82" s="364">
        <f>L82*(1+'MSCOA - Tariff Structure'!$R$2)</f>
        <v>3549.7249983037973</v>
      </c>
      <c r="P82" s="364">
        <f>M82*(1+'MSCOA - Tariff Structure'!$R$2)</f>
        <v>3549.7249983037973</v>
      </c>
      <c r="Q82" s="821">
        <f t="shared" ref="Q82:Q87" si="48">(R82/O82-1)*9/12+(S82/P82-1)*3/12</f>
        <v>0.12400000000000011</v>
      </c>
      <c r="R82" s="245">
        <f>O82*(1+'MSCOA - Tariff Structure'!$S$2)</f>
        <v>3989.8908980934684</v>
      </c>
      <c r="S82" s="245">
        <f>P82*(1+'MSCOA - Tariff Structure'!$S$2)</f>
        <v>3989.8908980934684</v>
      </c>
      <c r="T82" s="821">
        <f t="shared" ref="T82:T87" si="49">(U82/R82-1)*9/12+(V82/S82-1)*3/12</f>
        <v>9.8999999999999977E-2</v>
      </c>
      <c r="U82" s="245">
        <f>R82*(1+'MSCOA - Tariff Structure'!$T$2)</f>
        <v>4384.8900970047216</v>
      </c>
      <c r="V82" s="245">
        <f>S82*(1+'MSCOA - Tariff Structure'!$T$2)</f>
        <v>4384.8900970047216</v>
      </c>
      <c r="W82" s="821">
        <f t="shared" ref="W82:W87" si="50">(X82/U82-1)*9/12+(Y82/V82-1)*3/12</f>
        <v>7.1900000000000075E-2</v>
      </c>
      <c r="X82" s="364">
        <f>U82*(1+'MSCOA - Tariff Structure'!$U$2)</f>
        <v>4700.163694979361</v>
      </c>
      <c r="Y82" s="364">
        <f>V82*(1+'MSCOA - Tariff Structure'!$U$2)</f>
        <v>4700.163694979361</v>
      </c>
    </row>
    <row r="83" spans="1:25" x14ac:dyDescent="0.35">
      <c r="A83" s="354" t="s">
        <v>262</v>
      </c>
      <c r="B83" s="354" t="s">
        <v>1367</v>
      </c>
      <c r="C83" s="310">
        <v>55.66</v>
      </c>
      <c r="D83" s="797">
        <v>55.66</v>
      </c>
      <c r="E83" s="357">
        <f t="shared" si="45"/>
        <v>0.14583183614804174</v>
      </c>
      <c r="F83" s="682">
        <v>63.777000000000001</v>
      </c>
      <c r="G83" s="682">
        <v>63.777000000000001</v>
      </c>
      <c r="H83" s="357">
        <f t="shared" si="46"/>
        <v>7.4699999999999989E-2</v>
      </c>
      <c r="I83" s="310">
        <v>68.5411419</v>
      </c>
      <c r="J83" s="310">
        <v>68.5411419</v>
      </c>
      <c r="K83" s="357">
        <f t="shared" si="47"/>
        <v>0.15100000000000002</v>
      </c>
      <c r="L83" s="310">
        <f>I83*(1+'MSCOA - Tariff Structure'!$Q$2)</f>
        <v>78.890854326899998</v>
      </c>
      <c r="M83" s="310">
        <f>J83*(1+'MSCOA - Tariff Structure'!$Q$2)</f>
        <v>78.890854326899998</v>
      </c>
      <c r="N83" s="821">
        <f t="shared" si="44"/>
        <v>0.12199999999999989</v>
      </c>
      <c r="O83" s="364">
        <f>L83*(1+'MSCOA - Tariff Structure'!$R$2)</f>
        <v>88.515538554781784</v>
      </c>
      <c r="P83" s="364">
        <f>M83*(1+'MSCOA - Tariff Structure'!$R$2)</f>
        <v>88.515538554781784</v>
      </c>
      <c r="Q83" s="821">
        <f t="shared" si="48"/>
        <v>0.12400000000000011</v>
      </c>
      <c r="R83" s="245">
        <f>O83*(1+'MSCOA - Tariff Structure'!$S$2)</f>
        <v>99.49146533557473</v>
      </c>
      <c r="S83" s="245">
        <f>P83*(1+'MSCOA - Tariff Structure'!$S$2)</f>
        <v>99.49146533557473</v>
      </c>
      <c r="T83" s="821">
        <f t="shared" si="49"/>
        <v>9.8999999999999977E-2</v>
      </c>
      <c r="U83" s="245">
        <f>R83*(1+'MSCOA - Tariff Structure'!$T$2)</f>
        <v>109.34112040379662</v>
      </c>
      <c r="V83" s="245">
        <f>S83*(1+'MSCOA - Tariff Structure'!$T$2)</f>
        <v>109.34112040379662</v>
      </c>
      <c r="W83" s="821">
        <f t="shared" si="50"/>
        <v>7.1900000000000075E-2</v>
      </c>
      <c r="X83" s="364">
        <f>U83*(1+'MSCOA - Tariff Structure'!$U$2)</f>
        <v>117.20274696082961</v>
      </c>
      <c r="Y83" s="364">
        <f>V83*(1+'MSCOA - Tariff Structure'!$U$2)</f>
        <v>117.20274696082961</v>
      </c>
    </row>
    <row r="84" spans="1:25" x14ac:dyDescent="0.35">
      <c r="A84" s="354" t="s">
        <v>263</v>
      </c>
      <c r="B84" s="354" t="s">
        <v>1368</v>
      </c>
      <c r="C84" s="310">
        <v>151.03</v>
      </c>
      <c r="D84" s="797">
        <v>151.03</v>
      </c>
      <c r="E84" s="357">
        <f t="shared" si="45"/>
        <v>0.1459650400582666</v>
      </c>
      <c r="F84" s="682">
        <v>173.07509999999999</v>
      </c>
      <c r="G84" s="682">
        <v>173.07509999999999</v>
      </c>
      <c r="H84" s="357">
        <f t="shared" si="46"/>
        <v>7.4699999999999989E-2</v>
      </c>
      <c r="I84" s="310">
        <v>186.00380996999999</v>
      </c>
      <c r="J84" s="310">
        <v>186.00380996999999</v>
      </c>
      <c r="K84" s="357">
        <f t="shared" si="47"/>
        <v>0.15100000000000002</v>
      </c>
      <c r="L84" s="310">
        <f>I84*(1+'MSCOA - Tariff Structure'!$Q$2)</f>
        <v>214.09038527547</v>
      </c>
      <c r="M84" s="310">
        <f>J84*(1+'MSCOA - Tariff Structure'!$Q$2)</f>
        <v>214.09038527547</v>
      </c>
      <c r="N84" s="821">
        <f t="shared" si="44"/>
        <v>0.12199999999999989</v>
      </c>
      <c r="O84" s="364">
        <f>L84*(1+'MSCOA - Tariff Structure'!$R$2)</f>
        <v>240.20941227907733</v>
      </c>
      <c r="P84" s="364">
        <f>M84*(1+'MSCOA - Tariff Structure'!$R$2)</f>
        <v>240.20941227907733</v>
      </c>
      <c r="Q84" s="821">
        <f t="shared" si="48"/>
        <v>0.12400000000000011</v>
      </c>
      <c r="R84" s="245">
        <f>O84*(1+'MSCOA - Tariff Structure'!$S$2)</f>
        <v>269.99537940168295</v>
      </c>
      <c r="S84" s="245">
        <f>P84*(1+'MSCOA - Tariff Structure'!$S$2)</f>
        <v>269.99537940168295</v>
      </c>
      <c r="T84" s="821">
        <f t="shared" si="49"/>
        <v>9.8999999999999977E-2</v>
      </c>
      <c r="U84" s="245">
        <f>R84*(1+'MSCOA - Tariff Structure'!$T$2)</f>
        <v>296.72492196244957</v>
      </c>
      <c r="V84" s="245">
        <f>S84*(1+'MSCOA - Tariff Structure'!$T$2)</f>
        <v>296.72492196244957</v>
      </c>
      <c r="W84" s="821">
        <f t="shared" si="50"/>
        <v>7.1900000000000075E-2</v>
      </c>
      <c r="X84" s="364">
        <f>U84*(1+'MSCOA - Tariff Structure'!$U$2)</f>
        <v>318.0594438515497</v>
      </c>
      <c r="Y84" s="364">
        <f>V84*(1+'MSCOA - Tariff Structure'!$U$2)</f>
        <v>318.0594438515497</v>
      </c>
    </row>
    <row r="85" spans="1:25" x14ac:dyDescent="0.35">
      <c r="A85" s="354" t="s">
        <v>264</v>
      </c>
      <c r="B85" s="354" t="s">
        <v>1353</v>
      </c>
      <c r="C85" s="310">
        <v>1.724</v>
      </c>
      <c r="D85" s="797">
        <v>3.3879999999999999</v>
      </c>
      <c r="E85" s="357">
        <f t="shared" si="45"/>
        <v>4.3977704166746678E-2</v>
      </c>
      <c r="F85" s="682">
        <v>1.7998000000000001</v>
      </c>
      <c r="G85" s="682">
        <v>3.5371000000000001</v>
      </c>
      <c r="H85" s="357">
        <f t="shared" si="46"/>
        <v>7.4699999999999989E-2</v>
      </c>
      <c r="I85" s="804">
        <v>1.9342450600000001</v>
      </c>
      <c r="J85" s="804">
        <v>3.8013213700000001</v>
      </c>
      <c r="K85" s="357">
        <f t="shared" si="47"/>
        <v>0.15100000000000002</v>
      </c>
      <c r="L85" s="310">
        <f>I85*(1+'MSCOA - Tariff Structure'!$Q$2)</f>
        <v>2.2263160640600002</v>
      </c>
      <c r="M85" s="310">
        <f>J85*(1+'MSCOA - Tariff Structure'!$Q$2)</f>
        <v>4.3753208968699999</v>
      </c>
      <c r="N85" s="821">
        <f t="shared" si="44"/>
        <v>0.12199999999999989</v>
      </c>
      <c r="O85" s="364">
        <f>L85*(1+'MSCOA - Tariff Structure'!$R$2)</f>
        <v>2.4979266238753199</v>
      </c>
      <c r="P85" s="364">
        <f>M85*(1+'MSCOA - Tariff Structure'!$R$2)</f>
        <v>4.9091100462881396</v>
      </c>
      <c r="Q85" s="821">
        <f t="shared" si="48"/>
        <v>0.12400000000000011</v>
      </c>
      <c r="R85" s="245">
        <f>O85*(1+'MSCOA - Tariff Structure'!$S$2)</f>
        <v>2.8076695252358599</v>
      </c>
      <c r="S85" s="245">
        <f>P85*(1+'MSCOA - Tariff Structure'!$S$2)</f>
        <v>5.5178396920278692</v>
      </c>
      <c r="T85" s="821">
        <f t="shared" si="49"/>
        <v>9.8999999999999977E-2</v>
      </c>
      <c r="U85" s="245">
        <f>R85*(1+'MSCOA - Tariff Structure'!$T$2)</f>
        <v>3.08562880823421</v>
      </c>
      <c r="V85" s="245">
        <f>S85*(1+'MSCOA - Tariff Structure'!$T$2)</f>
        <v>6.0641058215386279</v>
      </c>
      <c r="W85" s="821">
        <f t="shared" si="50"/>
        <v>7.1900000000000075E-2</v>
      </c>
      <c r="X85" s="364">
        <f>U85*(1+'MSCOA - Tariff Structure'!$U$2)</f>
        <v>3.3074855195462498</v>
      </c>
      <c r="Y85" s="364">
        <f>V85*(1+'MSCOA - Tariff Structure'!$U$2)</f>
        <v>6.5001150301072554</v>
      </c>
    </row>
    <row r="86" spans="1:25" x14ac:dyDescent="0.35">
      <c r="A86" s="354" t="s">
        <v>265</v>
      </c>
      <c r="B86" s="354" t="s">
        <v>1355</v>
      </c>
      <c r="C86" s="310">
        <v>1.1309</v>
      </c>
      <c r="D86" s="797">
        <v>1.7333000000000001</v>
      </c>
      <c r="E86" s="357">
        <f t="shared" si="45"/>
        <v>4.396549328608873E-2</v>
      </c>
      <c r="F86" s="682">
        <v>1.1806000000000001</v>
      </c>
      <c r="G86" s="682">
        <v>1.8096000000000001</v>
      </c>
      <c r="H86" s="357">
        <f t="shared" si="46"/>
        <v>7.4699999999999989E-2</v>
      </c>
      <c r="I86" s="804">
        <v>1.26879082</v>
      </c>
      <c r="J86" s="804">
        <v>1.9447771200000001</v>
      </c>
      <c r="K86" s="357">
        <f t="shared" si="47"/>
        <v>0.15100000000000002</v>
      </c>
      <c r="L86" s="310">
        <f>I86*(1+'MSCOA - Tariff Structure'!$Q$2)</f>
        <v>1.46037823382</v>
      </c>
      <c r="M86" s="310">
        <f>J86*(1+'MSCOA - Tariff Structure'!$Q$2)</f>
        <v>2.2384384651200002</v>
      </c>
      <c r="N86" s="821">
        <f t="shared" si="44"/>
        <v>0.12199999999999989</v>
      </c>
      <c r="O86" s="364">
        <f>L86*(1+'MSCOA - Tariff Structure'!$R$2)</f>
        <v>1.6385443783460398</v>
      </c>
      <c r="P86" s="364">
        <f>M86*(1+'MSCOA - Tariff Structure'!$R$2)</f>
        <v>2.5115279578646401</v>
      </c>
      <c r="Q86" s="821">
        <f t="shared" si="48"/>
        <v>0.12400000000000011</v>
      </c>
      <c r="R86" s="245">
        <f>O86*(1+'MSCOA - Tariff Structure'!$S$2)</f>
        <v>1.8417238812609489</v>
      </c>
      <c r="S86" s="245">
        <f>P86*(1+'MSCOA - Tariff Structure'!$S$2)</f>
        <v>2.8229574246398559</v>
      </c>
      <c r="T86" s="821">
        <f t="shared" si="49"/>
        <v>9.8999999999999977E-2</v>
      </c>
      <c r="U86" s="245">
        <f>R86*(1+'MSCOA - Tariff Structure'!$T$2)</f>
        <v>2.0240545455057828</v>
      </c>
      <c r="V86" s="245">
        <f>S86*(1+'MSCOA - Tariff Structure'!$T$2)</f>
        <v>3.1024302096792016</v>
      </c>
      <c r="W86" s="821">
        <f t="shared" si="50"/>
        <v>7.1900000000000075E-2</v>
      </c>
      <c r="X86" s="364">
        <f>U86*(1+'MSCOA - Tariff Structure'!$U$2)</f>
        <v>2.1695840673276487</v>
      </c>
      <c r="Y86" s="364">
        <f>V86*(1+'MSCOA - Tariff Structure'!$U$2)</f>
        <v>3.3254949417551365</v>
      </c>
    </row>
    <row r="87" spans="1:25" x14ac:dyDescent="0.35">
      <c r="A87" s="354" t="s">
        <v>266</v>
      </c>
      <c r="B87" s="354" t="s">
        <v>1369</v>
      </c>
      <c r="C87" s="310">
        <v>0.99809999999999999</v>
      </c>
      <c r="D87" s="797">
        <v>1.5888</v>
      </c>
      <c r="E87" s="357">
        <f t="shared" si="45"/>
        <v>4.4002278801021089E-2</v>
      </c>
      <c r="F87" s="682">
        <v>1.042</v>
      </c>
      <c r="G87" s="682">
        <v>1.6588000000000001</v>
      </c>
      <c r="H87" s="357">
        <f t="shared" si="46"/>
        <v>7.4699999999999989E-2</v>
      </c>
      <c r="I87" s="804">
        <v>1.1198374</v>
      </c>
      <c r="J87" s="804">
        <v>1.7827123600000001</v>
      </c>
      <c r="K87" s="357">
        <f t="shared" si="47"/>
        <v>0.15100000000000002</v>
      </c>
      <c r="L87" s="310">
        <f>I87*(1+'MSCOA - Tariff Structure'!$Q$2)</f>
        <v>1.2889328473999999</v>
      </c>
      <c r="M87" s="310">
        <f>J87*(1+'MSCOA - Tariff Structure'!$Q$2)</f>
        <v>2.0519019263600002</v>
      </c>
      <c r="N87" s="821">
        <f t="shared" si="44"/>
        <v>0.12199999999999989</v>
      </c>
      <c r="O87" s="364">
        <f>L87*(1+'MSCOA - Tariff Structure'!$R$2)</f>
        <v>1.4461826547827998</v>
      </c>
      <c r="P87" s="364">
        <f>M87*(1+'MSCOA - Tariff Structure'!$R$2)</f>
        <v>2.30223396137592</v>
      </c>
      <c r="Q87" s="821">
        <f t="shared" si="48"/>
        <v>0.12400000000000011</v>
      </c>
      <c r="R87" s="245">
        <f>O87*(1+'MSCOA - Tariff Structure'!$S$2)</f>
        <v>1.6255093039758672</v>
      </c>
      <c r="S87" s="245">
        <f>P87*(1+'MSCOA - Tariff Structure'!$S$2)</f>
        <v>2.5877109725865344</v>
      </c>
      <c r="T87" s="821">
        <f t="shared" si="49"/>
        <v>9.8999999999999977E-2</v>
      </c>
      <c r="U87" s="245">
        <f>R87*(1+'MSCOA - Tariff Structure'!$T$2)</f>
        <v>1.7864347250694781</v>
      </c>
      <c r="V87" s="245">
        <f>S87*(1+'MSCOA - Tariff Structure'!$T$2)</f>
        <v>2.8438943588726011</v>
      </c>
      <c r="W87" s="821">
        <f t="shared" si="50"/>
        <v>7.1900000000000075E-2</v>
      </c>
      <c r="X87" s="364">
        <f>U87*(1+'MSCOA - Tariff Structure'!$U$2)</f>
        <v>1.9148793818019736</v>
      </c>
      <c r="Y87" s="364">
        <f>V87*(1+'MSCOA - Tariff Structure'!$U$2)</f>
        <v>3.0483703632755415</v>
      </c>
    </row>
    <row r="88" spans="1:25" x14ac:dyDescent="0.35">
      <c r="A88" s="352"/>
      <c r="B88" s="352" t="s">
        <v>1344</v>
      </c>
      <c r="C88" s="679"/>
      <c r="D88" s="789"/>
      <c r="E88" s="317">
        <f>AVERAGE(E82:E87)</f>
        <v>7.7956773011581312E-2</v>
      </c>
      <c r="F88" s="679"/>
      <c r="G88" s="679"/>
      <c r="H88" s="543">
        <f>AVERAGE(H83:H87)</f>
        <v>7.4699999999999989E-2</v>
      </c>
      <c r="I88" s="686"/>
      <c r="J88" s="686"/>
      <c r="K88" s="543">
        <f>AVERAGE(K82:K87)</f>
        <v>0.15100000000000002</v>
      </c>
      <c r="L88" s="686"/>
      <c r="M88" s="686"/>
      <c r="N88" s="543">
        <f>AVERAGE(N82:N87)</f>
        <v>0.12199999999999989</v>
      </c>
      <c r="O88" s="822"/>
      <c r="P88" s="822"/>
      <c r="Q88" s="543">
        <f>AVERAGE(Q82:Q87)</f>
        <v>0.12400000000000011</v>
      </c>
      <c r="R88" s="822"/>
      <c r="S88" s="822"/>
      <c r="T88" s="543">
        <f>AVERAGE(T82:T87)</f>
        <v>9.8999999999999977E-2</v>
      </c>
      <c r="U88" s="822"/>
      <c r="V88" s="822"/>
      <c r="W88" s="543">
        <f>AVERAGE(W82:W87)</f>
        <v>7.1900000000000075E-2</v>
      </c>
      <c r="X88" s="822"/>
      <c r="Y88" s="822"/>
    </row>
    <row r="89" spans="1:25" x14ac:dyDescent="0.35">
      <c r="A89" s="356"/>
      <c r="B89" s="356"/>
      <c r="C89" s="681"/>
      <c r="D89" s="792"/>
      <c r="E89" s="356"/>
      <c r="F89" s="681"/>
      <c r="G89" s="681"/>
      <c r="H89" s="357"/>
      <c r="I89" s="37"/>
      <c r="J89" s="37"/>
      <c r="K89" s="357"/>
      <c r="L89" s="37"/>
      <c r="M89" s="37"/>
      <c r="N89" s="248"/>
      <c r="O89" s="245"/>
      <c r="P89" s="245"/>
      <c r="Q89" s="248"/>
      <c r="R89" s="245"/>
      <c r="S89" s="245"/>
      <c r="T89" s="248"/>
      <c r="U89" s="245"/>
      <c r="V89" s="245"/>
      <c r="W89" s="248"/>
      <c r="X89" s="245"/>
      <c r="Y89" s="245"/>
    </row>
    <row r="90" spans="1:25" ht="15" customHeight="1" x14ac:dyDescent="0.35">
      <c r="A90" s="352" t="s">
        <v>267</v>
      </c>
      <c r="B90" s="352"/>
      <c r="C90" s="1161" t="str">
        <f>+$C$4</f>
        <v>2020/2021</v>
      </c>
      <c r="D90" s="1162"/>
      <c r="E90" s="1154" t="str">
        <f>+$E$4</f>
        <v>% Increase (for 21/22)</v>
      </c>
      <c r="F90" s="1158" t="str">
        <f>+F80</f>
        <v>2021/2022</v>
      </c>
      <c r="G90" s="1159"/>
      <c r="H90" s="1154" t="str">
        <f>H80</f>
        <v>% Increase (for 22/23)</v>
      </c>
      <c r="I90" s="1158" t="str">
        <f>I80</f>
        <v>2022/2023</v>
      </c>
      <c r="J90" s="1159"/>
      <c r="K90" s="1154" t="str">
        <f>K80</f>
        <v>% Increase (for 2023/24)</v>
      </c>
      <c r="L90" s="1158" t="str">
        <f>L80</f>
        <v>2023/2024</v>
      </c>
      <c r="M90" s="1159"/>
      <c r="N90" s="1154" t="str">
        <f>$N$4</f>
        <v>% Increase (for 2024/25)</v>
      </c>
      <c r="O90" s="1158" t="str">
        <f>O80</f>
        <v>2024/2025</v>
      </c>
      <c r="P90" s="1159"/>
      <c r="Q90" s="1154" t="s">
        <v>1896</v>
      </c>
      <c r="R90" s="1158" t="str">
        <f>R80</f>
        <v>2025/2026</v>
      </c>
      <c r="S90" s="1159"/>
      <c r="T90" s="1152" t="str">
        <f>$T$4</f>
        <v>% Increase (for 2026/27)</v>
      </c>
      <c r="U90" s="1153" t="str">
        <f>U80</f>
        <v>2026/2027</v>
      </c>
      <c r="V90" s="1153"/>
      <c r="W90" s="1152" t="str">
        <f>$W$4</f>
        <v>% Increase (for 2027/28)</v>
      </c>
      <c r="X90" s="1153" t="str">
        <f>X80</f>
        <v>2027/2028</v>
      </c>
      <c r="Y90" s="1153"/>
    </row>
    <row r="91" spans="1:25" x14ac:dyDescent="0.35">
      <c r="A91" s="352"/>
      <c r="B91" s="352"/>
      <c r="C91" s="679" t="s">
        <v>249</v>
      </c>
      <c r="D91" s="789" t="s">
        <v>250</v>
      </c>
      <c r="E91" s="1154"/>
      <c r="F91" s="679" t="s">
        <v>249</v>
      </c>
      <c r="G91" s="679" t="s">
        <v>250</v>
      </c>
      <c r="H91" s="1154"/>
      <c r="I91" s="686" t="s">
        <v>249</v>
      </c>
      <c r="J91" s="686" t="s">
        <v>250</v>
      </c>
      <c r="K91" s="1154"/>
      <c r="L91" s="686" t="s">
        <v>249</v>
      </c>
      <c r="M91" s="686" t="s">
        <v>250</v>
      </c>
      <c r="N91" s="1154"/>
      <c r="O91" s="686" t="s">
        <v>249</v>
      </c>
      <c r="P91" s="686" t="s">
        <v>250</v>
      </c>
      <c r="Q91" s="1154"/>
      <c r="R91" s="686" t="s">
        <v>249</v>
      </c>
      <c r="S91" s="686" t="s">
        <v>250</v>
      </c>
      <c r="T91" s="1152"/>
      <c r="U91" s="843" t="s">
        <v>249</v>
      </c>
      <c r="V91" s="843" t="s">
        <v>250</v>
      </c>
      <c r="W91" s="1152"/>
      <c r="X91" s="843" t="s">
        <v>249</v>
      </c>
      <c r="Y91" s="843" t="s">
        <v>250</v>
      </c>
    </row>
    <row r="92" spans="1:25" x14ac:dyDescent="0.35">
      <c r="A92" s="356"/>
      <c r="B92" s="354" t="s">
        <v>255</v>
      </c>
      <c r="C92" s="37">
        <v>1909.63</v>
      </c>
      <c r="D92" s="793">
        <v>1909.63</v>
      </c>
      <c r="E92" s="357">
        <f t="shared" ref="E92:E97" si="51">(F92/C92-1)*9/12+(G92/D92-1)*3/12</f>
        <v>4.4003498059833612E-2</v>
      </c>
      <c r="F92" s="682">
        <v>1993.6604</v>
      </c>
      <c r="G92" s="682">
        <v>1993.6604</v>
      </c>
      <c r="H92" s="357">
        <f t="shared" ref="H92:H97" si="52">(I92/F92-1)*9/12+(J92/G92-1)*3/12</f>
        <v>7.4699999999999989E-2</v>
      </c>
      <c r="I92" s="310">
        <v>2142.5868318799999</v>
      </c>
      <c r="J92" s="310">
        <v>2142.5868318799999</v>
      </c>
      <c r="K92" s="357">
        <f t="shared" ref="K92:K97" si="53">(L92/I92-1)*9/12+(M92/J92-1)*3/12</f>
        <v>0.15100000000000002</v>
      </c>
      <c r="L92" s="310">
        <f>I92*(1+'MSCOA - Tariff Structure'!$Q$2)</f>
        <v>2466.1174434938798</v>
      </c>
      <c r="M92" s="310">
        <f>J92*(1+'MSCOA - Tariff Structure'!$Q$2)</f>
        <v>2466.1174434938798</v>
      </c>
      <c r="N92" s="821">
        <f t="shared" si="44"/>
        <v>0.12199999999999989</v>
      </c>
      <c r="O92" s="364">
        <f>L92*(1+'MSCOA - Tariff Structure'!$R$2)</f>
        <v>2766.983771600133</v>
      </c>
      <c r="P92" s="364">
        <f>M92*(1+'MSCOA - Tariff Structure'!$R$2)</f>
        <v>2766.983771600133</v>
      </c>
      <c r="Q92" s="821">
        <f t="shared" ref="Q92:Q97" si="54">(R92/O92-1)*9/12+(S92/P92-1)*3/12</f>
        <v>0.12400000000000011</v>
      </c>
      <c r="R92" s="245">
        <f>O92*(1+'MSCOA - Tariff Structure'!$S$2)</f>
        <v>3110.0897592785495</v>
      </c>
      <c r="S92" s="245">
        <f>P92*(1+'MSCOA - Tariff Structure'!$S$2)</f>
        <v>3110.0897592785495</v>
      </c>
      <c r="T92" s="821">
        <f t="shared" ref="T92:T97" si="55">(U92/R92-1)*9/12+(V92/S92-1)*3/12</f>
        <v>9.8999999999999977E-2</v>
      </c>
      <c r="U92" s="245">
        <f>R92*(1+'MSCOA - Tariff Structure'!$T$2)</f>
        <v>3417.9886454471257</v>
      </c>
      <c r="V92" s="245">
        <f>S92*(1+'MSCOA - Tariff Structure'!$T$2)</f>
        <v>3417.9886454471257</v>
      </c>
      <c r="W92" s="821">
        <f t="shared" ref="W92:W97" si="56">(X92/U92-1)*9/12+(Y92/V92-1)*3/12</f>
        <v>7.1900000000000075E-2</v>
      </c>
      <c r="X92" s="364">
        <f>U92*(1+'MSCOA - Tariff Structure'!$U$2)</f>
        <v>3663.7420290547743</v>
      </c>
      <c r="Y92" s="364">
        <f>V92*(1+'MSCOA - Tariff Structure'!$U$2)</f>
        <v>3663.7420290547743</v>
      </c>
    </row>
    <row r="93" spans="1:25" x14ac:dyDescent="0.35">
      <c r="A93" s="354" t="s">
        <v>268</v>
      </c>
      <c r="B93" s="354" t="s">
        <v>1367</v>
      </c>
      <c r="C93" s="310">
        <v>58.14</v>
      </c>
      <c r="D93" s="797">
        <v>58.14</v>
      </c>
      <c r="E93" s="357">
        <f t="shared" si="51"/>
        <v>0.14598555211558306</v>
      </c>
      <c r="F93" s="682">
        <v>66.627600000000001</v>
      </c>
      <c r="G93" s="682">
        <v>66.627600000000001</v>
      </c>
      <c r="H93" s="357">
        <f t="shared" si="52"/>
        <v>7.4699999999999989E-2</v>
      </c>
      <c r="I93" s="310">
        <v>71.604681720000002</v>
      </c>
      <c r="J93" s="310">
        <v>71.604681720000002</v>
      </c>
      <c r="K93" s="357">
        <f t="shared" si="53"/>
        <v>0.15100000000000002</v>
      </c>
      <c r="L93" s="310">
        <f>I93*(1+'MSCOA - Tariff Structure'!$Q$2)</f>
        <v>82.416988659720005</v>
      </c>
      <c r="M93" s="310">
        <f>J93*(1+'MSCOA - Tariff Structure'!$Q$2)</f>
        <v>82.416988659720005</v>
      </c>
      <c r="N93" s="821">
        <f t="shared" si="44"/>
        <v>0.12199999999999989</v>
      </c>
      <c r="O93" s="364">
        <f>L93*(1+'MSCOA - Tariff Structure'!$R$2)</f>
        <v>92.471861276205843</v>
      </c>
      <c r="P93" s="364">
        <f>M93*(1+'MSCOA - Tariff Structure'!$R$2)</f>
        <v>92.471861276205843</v>
      </c>
      <c r="Q93" s="821">
        <f t="shared" si="54"/>
        <v>0.12400000000000011</v>
      </c>
      <c r="R93" s="245">
        <f>O93*(1+'MSCOA - Tariff Structure'!$S$2)</f>
        <v>103.93837207445537</v>
      </c>
      <c r="S93" s="245">
        <f>P93*(1+'MSCOA - Tariff Structure'!$S$2)</f>
        <v>103.93837207445537</v>
      </c>
      <c r="T93" s="821">
        <f t="shared" si="55"/>
        <v>9.8999999999999977E-2</v>
      </c>
      <c r="U93" s="245">
        <f>R93*(1+'MSCOA - Tariff Structure'!$T$2)</f>
        <v>114.22827090982645</v>
      </c>
      <c r="V93" s="245">
        <f>S93*(1+'MSCOA - Tariff Structure'!$T$2)</f>
        <v>114.22827090982645</v>
      </c>
      <c r="W93" s="821">
        <f t="shared" si="56"/>
        <v>7.1900000000000075E-2</v>
      </c>
      <c r="X93" s="364">
        <f>U93*(1+'MSCOA - Tariff Structure'!$U$2)</f>
        <v>122.44128358824298</v>
      </c>
      <c r="Y93" s="364">
        <f>V93*(1+'MSCOA - Tariff Structure'!$U$2)</f>
        <v>122.44128358824298</v>
      </c>
    </row>
    <row r="94" spans="1:25" x14ac:dyDescent="0.35">
      <c r="A94" s="354" t="s">
        <v>269</v>
      </c>
      <c r="B94" s="354" t="s">
        <v>1368</v>
      </c>
      <c r="C94" s="310">
        <v>163.13</v>
      </c>
      <c r="D94" s="797">
        <v>163.13</v>
      </c>
      <c r="E94" s="357">
        <f t="shared" si="51"/>
        <v>0.14589177343223186</v>
      </c>
      <c r="F94" s="682">
        <v>186.92939999999999</v>
      </c>
      <c r="G94" s="682">
        <v>186.92910000000001</v>
      </c>
      <c r="H94" s="357">
        <f t="shared" si="52"/>
        <v>7.4699999999999989E-2</v>
      </c>
      <c r="I94" s="310">
        <v>200.89302617999999</v>
      </c>
      <c r="J94" s="310">
        <v>200.89270377</v>
      </c>
      <c r="K94" s="357">
        <f t="shared" si="53"/>
        <v>0.15100000000000002</v>
      </c>
      <c r="L94" s="310">
        <f>I94*(1+'MSCOA - Tariff Structure'!$Q$2)</f>
        <v>231.22787313318</v>
      </c>
      <c r="M94" s="310">
        <f>J94*(1+'MSCOA - Tariff Structure'!$Q$2)</f>
        <v>231.22750203927001</v>
      </c>
      <c r="N94" s="821">
        <f t="shared" si="44"/>
        <v>0.12199999999999994</v>
      </c>
      <c r="O94" s="364">
        <f>L94*(1+'MSCOA - Tariff Structure'!$R$2)</f>
        <v>259.43767365542794</v>
      </c>
      <c r="P94" s="364">
        <f>M94*(1+'MSCOA - Tariff Structure'!$R$2)</f>
        <v>259.43725728806095</v>
      </c>
      <c r="Q94" s="821">
        <f t="shared" si="54"/>
        <v>0.12400000000000011</v>
      </c>
      <c r="R94" s="245">
        <f>O94*(1+'MSCOA - Tariff Structure'!$S$2)</f>
        <v>291.60794518870102</v>
      </c>
      <c r="S94" s="245">
        <f>P94*(1+'MSCOA - Tariff Structure'!$S$2)</f>
        <v>291.60747719178056</v>
      </c>
      <c r="T94" s="821">
        <f t="shared" si="55"/>
        <v>9.8999999999999977E-2</v>
      </c>
      <c r="U94" s="245">
        <f>R94*(1+'MSCOA - Tariff Structure'!$T$2)</f>
        <v>320.47713176238244</v>
      </c>
      <c r="V94" s="245">
        <f>S94*(1+'MSCOA - Tariff Structure'!$T$2)</f>
        <v>320.47661743376682</v>
      </c>
      <c r="W94" s="821">
        <f t="shared" si="56"/>
        <v>7.1900000000000075E-2</v>
      </c>
      <c r="X94" s="364">
        <f>U94*(1+'MSCOA - Tariff Structure'!$U$2)</f>
        <v>343.51943753609777</v>
      </c>
      <c r="Y94" s="364">
        <f>V94*(1+'MSCOA - Tariff Structure'!$U$2)</f>
        <v>343.51888622725465</v>
      </c>
    </row>
    <row r="95" spans="1:25" x14ac:dyDescent="0.35">
      <c r="A95" s="354" t="s">
        <v>1370</v>
      </c>
      <c r="B95" s="354" t="s">
        <v>1353</v>
      </c>
      <c r="C95" s="310">
        <v>1.8118000000000001</v>
      </c>
      <c r="D95" s="797">
        <v>3.3913000000000002</v>
      </c>
      <c r="E95" s="357">
        <f t="shared" si="51"/>
        <v>4.3998155956860352E-2</v>
      </c>
      <c r="F95" s="682">
        <v>1.8915</v>
      </c>
      <c r="G95" s="682">
        <v>3.5406</v>
      </c>
      <c r="H95" s="357">
        <f t="shared" si="52"/>
        <v>7.4699999999999989E-2</v>
      </c>
      <c r="I95" s="310">
        <v>2.0327950499999998</v>
      </c>
      <c r="J95" s="310">
        <v>3.80508282</v>
      </c>
      <c r="K95" s="357">
        <f t="shared" si="53"/>
        <v>0.15100000000000002</v>
      </c>
      <c r="L95" s="310">
        <f>I95*(1+'MSCOA - Tariff Structure'!$Q$2)</f>
        <v>2.3397471025499996</v>
      </c>
      <c r="M95" s="310">
        <f>J95*(1+'MSCOA - Tariff Structure'!$Q$2)</f>
        <v>4.3796503258200001</v>
      </c>
      <c r="N95" s="821">
        <f t="shared" si="44"/>
        <v>0.12199999999999989</v>
      </c>
      <c r="O95" s="364">
        <f>L95*(1+'MSCOA - Tariff Structure'!$R$2)</f>
        <v>2.6251962490610992</v>
      </c>
      <c r="P95" s="364">
        <f>M95*(1+'MSCOA - Tariff Structure'!$R$2)</f>
        <v>4.9139676655700395</v>
      </c>
      <c r="Q95" s="821">
        <f t="shared" si="54"/>
        <v>0.12400000000000011</v>
      </c>
      <c r="R95" s="245">
        <f>O95*(1+'MSCOA - Tariff Structure'!$S$2)</f>
        <v>2.9507205839446757</v>
      </c>
      <c r="S95" s="245">
        <f>P95*(1+'MSCOA - Tariff Structure'!$S$2)</f>
        <v>5.5232996561007246</v>
      </c>
      <c r="T95" s="821">
        <f t="shared" si="55"/>
        <v>9.8999999999999977E-2</v>
      </c>
      <c r="U95" s="245">
        <f>R95*(1+'MSCOA - Tariff Structure'!$T$2)</f>
        <v>3.2428419217551987</v>
      </c>
      <c r="V95" s="245">
        <f>S95*(1+'MSCOA - Tariff Structure'!$T$2)</f>
        <v>6.0701063220546958</v>
      </c>
      <c r="W95" s="821">
        <f t="shared" si="56"/>
        <v>7.1900000000000075E-2</v>
      </c>
      <c r="X95" s="364">
        <f>U95*(1+'MSCOA - Tariff Structure'!$U$2)</f>
        <v>3.4760022559293979</v>
      </c>
      <c r="Y95" s="364">
        <f>V95*(1+'MSCOA - Tariff Structure'!$U$2)</f>
        <v>6.5065469666104292</v>
      </c>
    </row>
    <row r="96" spans="1:25" x14ac:dyDescent="0.35">
      <c r="A96" s="354" t="s">
        <v>1371</v>
      </c>
      <c r="B96" s="354" t="s">
        <v>1355</v>
      </c>
      <c r="C96" s="310">
        <v>1.1872</v>
      </c>
      <c r="D96" s="797">
        <v>1.7282999999999999</v>
      </c>
      <c r="E96" s="357">
        <f t="shared" si="51"/>
        <v>4.4033387659266066E-2</v>
      </c>
      <c r="F96" s="682">
        <v>1.2395</v>
      </c>
      <c r="G96" s="682">
        <v>1.8043</v>
      </c>
      <c r="H96" s="357">
        <f t="shared" si="52"/>
        <v>7.4699999999999989E-2</v>
      </c>
      <c r="I96" s="310">
        <v>1.33209065</v>
      </c>
      <c r="J96" s="310">
        <v>1.9390812100000001</v>
      </c>
      <c r="K96" s="357">
        <f t="shared" si="53"/>
        <v>0.15100000000000002</v>
      </c>
      <c r="L96" s="310">
        <f>I96*(1+'MSCOA - Tariff Structure'!$Q$2)</f>
        <v>1.53323633815</v>
      </c>
      <c r="M96" s="310">
        <f>J96*(1+'MSCOA - Tariff Structure'!$Q$2)</f>
        <v>2.2318824727100002</v>
      </c>
      <c r="N96" s="821">
        <f t="shared" si="44"/>
        <v>0.12199999999999989</v>
      </c>
      <c r="O96" s="364">
        <f>L96*(1+'MSCOA - Tariff Structure'!$R$2)</f>
        <v>1.7202911714042999</v>
      </c>
      <c r="P96" s="364">
        <f>M96*(1+'MSCOA - Tariff Structure'!$R$2)</f>
        <v>2.50417213438062</v>
      </c>
      <c r="Q96" s="821">
        <f t="shared" si="54"/>
        <v>0.12400000000000011</v>
      </c>
      <c r="R96" s="245">
        <f>O96*(1+'MSCOA - Tariff Structure'!$S$2)</f>
        <v>1.9336072766584333</v>
      </c>
      <c r="S96" s="245">
        <f>P96*(1+'MSCOA - Tariff Structure'!$S$2)</f>
        <v>2.8146894790438171</v>
      </c>
      <c r="T96" s="821">
        <f t="shared" si="55"/>
        <v>9.8999999999999977E-2</v>
      </c>
      <c r="U96" s="245">
        <f>R96*(1+'MSCOA - Tariff Structure'!$T$2)</f>
        <v>2.1250343970476182</v>
      </c>
      <c r="V96" s="245">
        <f>S96*(1+'MSCOA - Tariff Structure'!$T$2)</f>
        <v>3.093343737469155</v>
      </c>
      <c r="W96" s="821">
        <f t="shared" si="56"/>
        <v>7.1900000000000075E-2</v>
      </c>
      <c r="X96" s="364">
        <f>U96*(1+'MSCOA - Tariff Structure'!$U$2)</f>
        <v>2.2778243701953422</v>
      </c>
      <c r="Y96" s="364">
        <f>V96*(1+'MSCOA - Tariff Structure'!$U$2)</f>
        <v>3.3157551521931876</v>
      </c>
    </row>
    <row r="97" spans="1:25" x14ac:dyDescent="0.35">
      <c r="A97" s="354" t="s">
        <v>1372</v>
      </c>
      <c r="B97" s="354" t="s">
        <v>1369</v>
      </c>
      <c r="C97" s="310">
        <v>1.0626</v>
      </c>
      <c r="D97" s="797">
        <v>1.6173999999999999</v>
      </c>
      <c r="E97" s="357">
        <f t="shared" si="51"/>
        <v>4.3966920789491659E-2</v>
      </c>
      <c r="F97" s="682">
        <v>1.1093</v>
      </c>
      <c r="G97" s="682">
        <v>1.6886000000000001</v>
      </c>
      <c r="H97" s="357">
        <f t="shared" si="52"/>
        <v>7.4699999999999989E-2</v>
      </c>
      <c r="I97" s="310">
        <v>1.1921647099999999</v>
      </c>
      <c r="J97" s="310">
        <v>1.8147384200000001</v>
      </c>
      <c r="K97" s="357">
        <f t="shared" si="53"/>
        <v>0.15100000000000002</v>
      </c>
      <c r="L97" s="310">
        <f>I97*(1+'MSCOA - Tariff Structure'!$Q$2)</f>
        <v>1.37218158121</v>
      </c>
      <c r="M97" s="310">
        <f>J97*(1+'MSCOA - Tariff Structure'!$Q$2)</f>
        <v>2.08876392142</v>
      </c>
      <c r="N97" s="821">
        <f t="shared" si="44"/>
        <v>0.12199999999999989</v>
      </c>
      <c r="O97" s="364">
        <f>L97*(1+'MSCOA - Tariff Structure'!$R$2)</f>
        <v>1.5395877341176198</v>
      </c>
      <c r="P97" s="364">
        <f>M97*(1+'MSCOA - Tariff Structure'!$R$2)</f>
        <v>2.3435931198332396</v>
      </c>
      <c r="Q97" s="821">
        <f t="shared" si="54"/>
        <v>0.12400000000000011</v>
      </c>
      <c r="R97" s="245">
        <f>O97*(1+'MSCOA - Tariff Structure'!$S$2)</f>
        <v>1.7304966131482049</v>
      </c>
      <c r="S97" s="245">
        <f>P97*(1+'MSCOA - Tariff Structure'!$S$2)</f>
        <v>2.6341986666925616</v>
      </c>
      <c r="T97" s="821">
        <f t="shared" si="55"/>
        <v>9.8999999999999977E-2</v>
      </c>
      <c r="U97" s="245">
        <f>R97*(1+'MSCOA - Tariff Structure'!$T$2)</f>
        <v>1.9018157778498772</v>
      </c>
      <c r="V97" s="245">
        <f>S97*(1+'MSCOA - Tariff Structure'!$T$2)</f>
        <v>2.8949843346951254</v>
      </c>
      <c r="W97" s="821">
        <f t="shared" si="56"/>
        <v>7.1900000000000075E-2</v>
      </c>
      <c r="X97" s="364">
        <f>U97*(1+'MSCOA - Tariff Structure'!$U$2)</f>
        <v>2.0385563322772837</v>
      </c>
      <c r="Y97" s="364">
        <f>V97*(1+'MSCOA - Tariff Structure'!$U$2)</f>
        <v>3.1031337083597053</v>
      </c>
    </row>
    <row r="98" spans="1:25" x14ac:dyDescent="0.35">
      <c r="A98" s="352"/>
      <c r="B98" s="352" t="s">
        <v>1344</v>
      </c>
      <c r="C98" s="679"/>
      <c r="D98" s="789"/>
      <c r="E98" s="317">
        <f>AVERAGE(E92:E97)</f>
        <v>7.797988133554444E-2</v>
      </c>
      <c r="F98" s="679"/>
      <c r="G98" s="679"/>
      <c r="H98" s="543">
        <f>AVERAGE(H93:H97)</f>
        <v>7.4699999999999989E-2</v>
      </c>
      <c r="I98" s="686"/>
      <c r="J98" s="686"/>
      <c r="K98" s="543">
        <f>AVERAGE(K92:K97)</f>
        <v>0.15100000000000002</v>
      </c>
      <c r="L98" s="686"/>
      <c r="M98" s="686"/>
      <c r="N98" s="543">
        <f>AVERAGE(N92:N97)</f>
        <v>0.12199999999999989</v>
      </c>
      <c r="O98" s="822"/>
      <c r="P98" s="822"/>
      <c r="Q98" s="543">
        <f>AVERAGE(Q92:Q97)</f>
        <v>0.12400000000000011</v>
      </c>
      <c r="R98" s="822"/>
      <c r="S98" s="822"/>
      <c r="T98" s="543">
        <f>AVERAGE(T92:T97)</f>
        <v>9.8999999999999977E-2</v>
      </c>
      <c r="U98" s="822"/>
      <c r="V98" s="822"/>
      <c r="W98" s="543">
        <f>AVERAGE(W92:W97)</f>
        <v>7.1900000000000075E-2</v>
      </c>
      <c r="X98" s="822"/>
      <c r="Y98" s="822"/>
    </row>
    <row r="99" spans="1:25" x14ac:dyDescent="0.35">
      <c r="A99" s="356"/>
      <c r="B99" s="356"/>
      <c r="C99" s="681"/>
      <c r="D99" s="792"/>
      <c r="E99" s="356"/>
      <c r="F99" s="681"/>
      <c r="G99" s="681"/>
      <c r="H99" s="357"/>
      <c r="I99" s="37"/>
      <c r="J99" s="37"/>
      <c r="K99" s="357"/>
      <c r="L99" s="37"/>
      <c r="M99" s="37"/>
      <c r="N99" s="248"/>
      <c r="O99" s="245"/>
      <c r="P99" s="245"/>
      <c r="Q99" s="248"/>
      <c r="R99" s="245"/>
      <c r="S99" s="245"/>
      <c r="T99" s="248"/>
      <c r="U99" s="245"/>
      <c r="V99" s="245"/>
      <c r="W99" s="248"/>
      <c r="X99" s="245"/>
      <c r="Y99" s="245"/>
    </row>
    <row r="100" spans="1:25" ht="35.15" customHeight="1" x14ac:dyDescent="0.4">
      <c r="A100" s="1137" t="s">
        <v>1339</v>
      </c>
      <c r="B100" s="826"/>
      <c r="C100" s="827"/>
      <c r="D100" s="828"/>
      <c r="E100" s="826"/>
      <c r="F100" s="829"/>
      <c r="G100" s="829"/>
      <c r="H100" s="829"/>
      <c r="I100" s="830"/>
      <c r="J100" s="830"/>
      <c r="K100" s="831"/>
      <c r="L100" s="832"/>
      <c r="M100" s="832"/>
      <c r="N100" s="833" t="s">
        <v>1340</v>
      </c>
      <c r="O100" s="831"/>
      <c r="P100" s="829"/>
      <c r="Q100" s="829"/>
      <c r="R100" s="1138"/>
      <c r="S100" s="1138"/>
      <c r="T100" s="1138"/>
      <c r="U100" s="1138"/>
      <c r="V100" s="1138"/>
      <c r="W100" s="1138"/>
      <c r="X100" s="1138"/>
      <c r="Y100" s="1138"/>
    </row>
    <row r="101" spans="1:25" ht="15" customHeight="1" x14ac:dyDescent="0.35">
      <c r="A101" s="352" t="s">
        <v>270</v>
      </c>
      <c r="B101" s="352"/>
      <c r="C101" s="1161" t="str">
        <f>+$C$4</f>
        <v>2020/2021</v>
      </c>
      <c r="D101" s="1162"/>
      <c r="E101" s="1154" t="str">
        <f>+$E$4</f>
        <v>% Increase (for 21/22)</v>
      </c>
      <c r="F101" s="1158" t="str">
        <f>+F90</f>
        <v>2021/2022</v>
      </c>
      <c r="G101" s="1159"/>
      <c r="H101" s="1154" t="str">
        <f>H90</f>
        <v>% Increase (for 22/23)</v>
      </c>
      <c r="I101" s="1158" t="str">
        <f>I90</f>
        <v>2022/2023</v>
      </c>
      <c r="J101" s="1159"/>
      <c r="K101" s="1154" t="str">
        <f>K90</f>
        <v>% Increase (for 2023/24)</v>
      </c>
      <c r="L101" s="1158" t="str">
        <f>L90</f>
        <v>2023/2024</v>
      </c>
      <c r="M101" s="1159"/>
      <c r="N101" s="1154" t="str">
        <f>$N$4</f>
        <v>% Increase (for 2024/25)</v>
      </c>
      <c r="O101" s="1158" t="str">
        <f>O90</f>
        <v>2024/2025</v>
      </c>
      <c r="P101" s="1159"/>
      <c r="Q101" s="1154" t="str">
        <f>$Q$4</f>
        <v>% Increase (for 2025/26)</v>
      </c>
      <c r="R101" s="1158" t="str">
        <f>R90</f>
        <v>2025/2026</v>
      </c>
      <c r="S101" s="1159"/>
      <c r="T101" s="1152" t="str">
        <f>$T$4</f>
        <v>% Increase (for 2026/27)</v>
      </c>
      <c r="U101" s="1153" t="str">
        <f>U90</f>
        <v>2026/2027</v>
      </c>
      <c r="V101" s="1153"/>
      <c r="W101" s="1152" t="str">
        <f>$W$4</f>
        <v>% Increase (for 2027/28)</v>
      </c>
      <c r="X101" s="1153" t="str">
        <f>X90</f>
        <v>2027/2028</v>
      </c>
      <c r="Y101" s="1153"/>
    </row>
    <row r="102" spans="1:25" x14ac:dyDescent="0.35">
      <c r="A102" s="352"/>
      <c r="B102" s="352"/>
      <c r="C102" s="679" t="s">
        <v>249</v>
      </c>
      <c r="D102" s="789" t="s">
        <v>250</v>
      </c>
      <c r="E102" s="1154"/>
      <c r="F102" s="679" t="s">
        <v>249</v>
      </c>
      <c r="G102" s="679" t="s">
        <v>250</v>
      </c>
      <c r="H102" s="1154"/>
      <c r="I102" s="686" t="s">
        <v>249</v>
      </c>
      <c r="J102" s="686" t="s">
        <v>250</v>
      </c>
      <c r="K102" s="1154"/>
      <c r="L102" s="686" t="s">
        <v>249</v>
      </c>
      <c r="M102" s="686" t="s">
        <v>250</v>
      </c>
      <c r="N102" s="1154"/>
      <c r="O102" s="686" t="s">
        <v>249</v>
      </c>
      <c r="P102" s="686" t="s">
        <v>250</v>
      </c>
      <c r="Q102" s="1154"/>
      <c r="R102" s="686" t="s">
        <v>249</v>
      </c>
      <c r="S102" s="686" t="s">
        <v>250</v>
      </c>
      <c r="T102" s="1152"/>
      <c r="U102" s="843" t="s">
        <v>249</v>
      </c>
      <c r="V102" s="843" t="s">
        <v>250</v>
      </c>
      <c r="W102" s="1152"/>
      <c r="X102" s="843" t="s">
        <v>249</v>
      </c>
      <c r="Y102" s="843" t="s">
        <v>250</v>
      </c>
    </row>
    <row r="103" spans="1:25" x14ac:dyDescent="0.35">
      <c r="A103" s="356"/>
      <c r="B103" s="354" t="s">
        <v>255</v>
      </c>
      <c r="C103" s="310">
        <v>2998.6755760000001</v>
      </c>
      <c r="D103" s="793">
        <v>2998.6755760000001</v>
      </c>
      <c r="E103" s="357">
        <f t="shared" ref="E103:E107" si="57">(F103/C103-1)*9/12+(G103/D103-1)*3/12</f>
        <v>0.14590061942732824</v>
      </c>
      <c r="F103" s="682">
        <v>3436.1842000000001</v>
      </c>
      <c r="G103" s="682">
        <v>3436.1842000000001</v>
      </c>
      <c r="H103" s="357">
        <f t="shared" ref="H103:H107" si="58">(I103/F103-1)*9/12+(J103/G103-1)*3/12</f>
        <v>7.4699999999999989E-2</v>
      </c>
      <c r="I103" s="310">
        <v>3692.8671597400003</v>
      </c>
      <c r="J103" s="310">
        <v>3692.8671597400003</v>
      </c>
      <c r="K103" s="357">
        <f t="shared" ref="K103:K107" si="59">(L103/I103-1)*9/12+(M103/J103-1)*3/12</f>
        <v>0.15100000000000002</v>
      </c>
      <c r="L103" s="310">
        <f>I103*(1+'MSCOA - Tariff Structure'!$Q$2)</f>
        <v>4250.4901008607403</v>
      </c>
      <c r="M103" s="310">
        <f>J103*(1+'MSCOA - Tariff Structure'!$Q$2)</f>
        <v>4250.4901008607403</v>
      </c>
      <c r="N103" s="821">
        <f t="shared" si="44"/>
        <v>0.12199999999999989</v>
      </c>
      <c r="O103" s="364">
        <f>L103*(1+'MSCOA - Tariff Structure'!$R$2)</f>
        <v>4769.0498931657503</v>
      </c>
      <c r="P103" s="364">
        <f>M103*(1+'MSCOA - Tariff Structure'!$R$2)</f>
        <v>4769.0498931657503</v>
      </c>
      <c r="Q103" s="821">
        <f t="shared" ref="Q103:Q107" si="60">(R103/O103-1)*9/12+(S103/P103-1)*3/12</f>
        <v>0.12400000000000011</v>
      </c>
      <c r="R103" s="245">
        <f>O103*(1+'MSCOA - Tariff Structure'!$S$2)</f>
        <v>5360.4120799183038</v>
      </c>
      <c r="S103" s="245">
        <f>P103*(1+'MSCOA - Tariff Structure'!$S$2)</f>
        <v>5360.4120799183038</v>
      </c>
      <c r="T103" s="821">
        <f>(U103/R103-1)*9/12+(V103/S103-1)*3/12</f>
        <v>9.8999999999999977E-2</v>
      </c>
      <c r="U103" s="245">
        <f>R103*(1+'MSCOA - Tariff Structure'!$T$2)</f>
        <v>5891.0928758302161</v>
      </c>
      <c r="V103" s="245">
        <f>S103*(1+'MSCOA - Tariff Structure'!$T$2)</f>
        <v>5891.0928758302161</v>
      </c>
      <c r="W103" s="821">
        <f>(X103/U103-1)*9/12+(Y103/V103-1)*3/12</f>
        <v>7.1900000000000075E-2</v>
      </c>
      <c r="X103" s="364">
        <f>U103*(1+'MSCOA - Tariff Structure'!$U$2)</f>
        <v>6314.6624536024092</v>
      </c>
      <c r="Y103" s="364">
        <f>V103*(1+'MSCOA - Tariff Structure'!$U$2)</f>
        <v>6314.6624536024092</v>
      </c>
    </row>
    <row r="104" spans="1:25" x14ac:dyDescent="0.35">
      <c r="A104" s="354" t="s">
        <v>518</v>
      </c>
      <c r="B104" s="354" t="s">
        <v>1368</v>
      </c>
      <c r="C104" s="310">
        <v>21.668879999999998</v>
      </c>
      <c r="D104" s="793">
        <v>21.668879999999998</v>
      </c>
      <c r="E104" s="357">
        <f t="shared" si="57"/>
        <v>0.14613676387519803</v>
      </c>
      <c r="F104" s="682">
        <v>24.8355</v>
      </c>
      <c r="G104" s="682">
        <v>24.8355</v>
      </c>
      <c r="H104" s="357">
        <f t="shared" si="58"/>
        <v>7.4699999999999989E-2</v>
      </c>
      <c r="I104" s="310">
        <v>26.69071185</v>
      </c>
      <c r="J104" s="310">
        <v>26.69071185</v>
      </c>
      <c r="K104" s="357">
        <f t="shared" si="59"/>
        <v>0.15100000000000002</v>
      </c>
      <c r="L104" s="310">
        <f>I104*(1+'MSCOA - Tariff Structure'!$Q$2)</f>
        <v>30.721009339350001</v>
      </c>
      <c r="M104" s="310">
        <f>J104*(1+'MSCOA - Tariff Structure'!$Q$2)</f>
        <v>30.721009339350001</v>
      </c>
      <c r="N104" s="821">
        <f t="shared" si="44"/>
        <v>0.12199999999999989</v>
      </c>
      <c r="O104" s="364">
        <f>L104*(1+'MSCOA - Tariff Structure'!$R$2)</f>
        <v>34.4689724787507</v>
      </c>
      <c r="P104" s="364">
        <f>M104*(1+'MSCOA - Tariff Structure'!$R$2)</f>
        <v>34.4689724787507</v>
      </c>
      <c r="Q104" s="821">
        <f t="shared" si="60"/>
        <v>0.12400000000000011</v>
      </c>
      <c r="R104" s="245">
        <f>O104*(1+'MSCOA - Tariff Structure'!$S$2)</f>
        <v>38.743125066115788</v>
      </c>
      <c r="S104" s="245">
        <f>P104*(1+'MSCOA - Tariff Structure'!$S$2)</f>
        <v>38.743125066115788</v>
      </c>
      <c r="T104" s="821">
        <f>(U104/R104-1)*9/12+(V104/S104-1)*3/12</f>
        <v>9.8999999999999977E-2</v>
      </c>
      <c r="U104" s="245">
        <f>R104*(1+'MSCOA - Tariff Structure'!$T$2)</f>
        <v>42.578694447661249</v>
      </c>
      <c r="V104" s="245">
        <f>S104*(1+'MSCOA - Tariff Structure'!$T$2)</f>
        <v>42.578694447661249</v>
      </c>
      <c r="W104" s="821">
        <f>(X104/U104-1)*9/12+(Y104/V104-1)*3/12</f>
        <v>7.1900000000000075E-2</v>
      </c>
      <c r="X104" s="364">
        <f>U104*(1+'MSCOA - Tariff Structure'!$U$2)</f>
        <v>45.640102578448094</v>
      </c>
      <c r="Y104" s="364">
        <f>V104*(1+'MSCOA - Tariff Structure'!$U$2)</f>
        <v>45.640102578448094</v>
      </c>
    </row>
    <row r="105" spans="1:25" x14ac:dyDescent="0.35">
      <c r="A105" s="354" t="s">
        <v>503</v>
      </c>
      <c r="B105" s="354" t="s">
        <v>1353</v>
      </c>
      <c r="C105" s="310">
        <v>1.8751016600000001</v>
      </c>
      <c r="D105" s="793">
        <v>2.7180635799999999</v>
      </c>
      <c r="E105" s="357">
        <f t="shared" si="57"/>
        <v>0.14590573014636915</v>
      </c>
      <c r="F105" s="682">
        <v>2.1486999999999998</v>
      </c>
      <c r="G105" s="682">
        <v>3.1145999999999998</v>
      </c>
      <c r="H105" s="357">
        <f t="shared" si="58"/>
        <v>7.4699999999999989E-2</v>
      </c>
      <c r="I105" s="310">
        <v>2.3092078899999997</v>
      </c>
      <c r="J105" s="310">
        <v>3.3472606199999997</v>
      </c>
      <c r="K105" s="357">
        <f t="shared" si="59"/>
        <v>0.15100000000000002</v>
      </c>
      <c r="L105" s="310">
        <f>I105*(1+'MSCOA - Tariff Structure'!$Q$2)</f>
        <v>2.6578982813899996</v>
      </c>
      <c r="M105" s="310">
        <f>J105*(1+'MSCOA - Tariff Structure'!$Q$2)</f>
        <v>3.8526969736199996</v>
      </c>
      <c r="N105" s="821">
        <f t="shared" si="44"/>
        <v>0.12199999999999989</v>
      </c>
      <c r="O105" s="364">
        <f>L105*(1+'MSCOA - Tariff Structure'!$R$2)</f>
        <v>2.9821618717195792</v>
      </c>
      <c r="P105" s="364">
        <f>M105*(1+'MSCOA - Tariff Structure'!$R$2)</f>
        <v>4.3227260044016393</v>
      </c>
      <c r="Q105" s="821">
        <f t="shared" si="60"/>
        <v>0.12400000000000011</v>
      </c>
      <c r="R105" s="245">
        <f>O105*(1+'MSCOA - Tariff Structure'!$S$2)</f>
        <v>3.3519499438128073</v>
      </c>
      <c r="S105" s="245">
        <f>P105*(1+'MSCOA - Tariff Structure'!$S$2)</f>
        <v>4.8587440289474433</v>
      </c>
      <c r="T105" s="821">
        <f>(U105/R105-1)*9/12+(V105/S105-1)*3/12</f>
        <v>9.8999999999999977E-2</v>
      </c>
      <c r="U105" s="245">
        <f>R105*(1+'MSCOA - Tariff Structure'!$T$2)</f>
        <v>3.6837929882502753</v>
      </c>
      <c r="V105" s="245">
        <f>S105*(1+'MSCOA - Tariff Structure'!$T$2)</f>
        <v>5.3397596878132401</v>
      </c>
      <c r="W105" s="821">
        <f>(X105/U105-1)*9/12+(Y105/V105-1)*3/12</f>
        <v>7.1900000000000075E-2</v>
      </c>
      <c r="X105" s="364">
        <f>U105*(1+'MSCOA - Tariff Structure'!$U$2)</f>
        <v>3.9486577041054702</v>
      </c>
      <c r="Y105" s="364">
        <f>V105*(1+'MSCOA - Tariff Structure'!$U$2)</f>
        <v>5.7236884093670124</v>
      </c>
    </row>
    <row r="106" spans="1:25" x14ac:dyDescent="0.35">
      <c r="A106" s="354" t="s">
        <v>501</v>
      </c>
      <c r="B106" s="354" t="s">
        <v>1355</v>
      </c>
      <c r="C106" s="310">
        <v>1.5009948200000001</v>
      </c>
      <c r="D106" s="793">
        <v>1.9343724199999999</v>
      </c>
      <c r="E106" s="357">
        <f t="shared" si="57"/>
        <v>0.14589243216977427</v>
      </c>
      <c r="F106" s="682">
        <v>1.72</v>
      </c>
      <c r="G106" s="682">
        <v>2.2164999999999999</v>
      </c>
      <c r="H106" s="357">
        <f t="shared" si="58"/>
        <v>7.4699999999999989E-2</v>
      </c>
      <c r="I106" s="310">
        <v>1.848484</v>
      </c>
      <c r="J106" s="310">
        <v>2.3820725499999997</v>
      </c>
      <c r="K106" s="357">
        <f t="shared" si="59"/>
        <v>0.15100000000000002</v>
      </c>
      <c r="L106" s="310">
        <f>I106*(1+'MSCOA - Tariff Structure'!$Q$2)</f>
        <v>2.1276050840000003</v>
      </c>
      <c r="M106" s="310">
        <f>J106*(1+'MSCOA - Tariff Structure'!$Q$2)</f>
        <v>2.7417655050499996</v>
      </c>
      <c r="N106" s="821">
        <f t="shared" si="44"/>
        <v>0.12199999999999989</v>
      </c>
      <c r="O106" s="364">
        <f>L106*(1+'MSCOA - Tariff Structure'!$R$2)</f>
        <v>2.3871729042480001</v>
      </c>
      <c r="P106" s="364">
        <f>M106*(1+'MSCOA - Tariff Structure'!$R$2)</f>
        <v>3.0762608966660991</v>
      </c>
      <c r="Q106" s="821">
        <f t="shared" si="60"/>
        <v>0.12400000000000011</v>
      </c>
      <c r="R106" s="245">
        <f>O106*(1+'MSCOA - Tariff Structure'!$S$2)</f>
        <v>2.6831823443747522</v>
      </c>
      <c r="S106" s="245">
        <f>P106*(1+'MSCOA - Tariff Structure'!$S$2)</f>
        <v>3.4577172478526959</v>
      </c>
      <c r="T106" s="821">
        <f>(U106/R106-1)*9/12+(V106/S106-1)*3/12</f>
        <v>9.8999999999999977E-2</v>
      </c>
      <c r="U106" s="245">
        <f>R106*(1+'MSCOA - Tariff Structure'!$T$2)</f>
        <v>2.9488173964678528</v>
      </c>
      <c r="V106" s="245">
        <f>S106*(1+'MSCOA - Tariff Structure'!$T$2)</f>
        <v>3.8000312553901128</v>
      </c>
      <c r="W106" s="821">
        <f>(X106/U106-1)*9/12+(Y106/V106-1)*3/12</f>
        <v>7.1900000000000075E-2</v>
      </c>
      <c r="X106" s="364">
        <f>U106*(1+'MSCOA - Tariff Structure'!$U$2)</f>
        <v>3.1608373672738916</v>
      </c>
      <c r="Y106" s="364">
        <f>V106*(1+'MSCOA - Tariff Structure'!$U$2)</f>
        <v>4.073253502652662</v>
      </c>
    </row>
    <row r="107" spans="1:25" x14ac:dyDescent="0.35">
      <c r="A107" s="354" t="s">
        <v>494</v>
      </c>
      <c r="B107" s="354" t="s">
        <v>1369</v>
      </c>
      <c r="C107" s="310">
        <v>1.1104238800000001</v>
      </c>
      <c r="D107" s="793">
        <v>1.6312205400000002</v>
      </c>
      <c r="E107" s="357">
        <f t="shared" si="57"/>
        <v>0.14587415331147646</v>
      </c>
      <c r="F107" s="682">
        <v>1.2724</v>
      </c>
      <c r="G107" s="682">
        <v>1.8692</v>
      </c>
      <c r="H107" s="357">
        <f t="shared" si="58"/>
        <v>7.4699999999999989E-2</v>
      </c>
      <c r="I107" s="310">
        <v>1.3674482800000001</v>
      </c>
      <c r="J107" s="310">
        <v>2.0088292399999998</v>
      </c>
      <c r="K107" s="357">
        <f t="shared" si="59"/>
        <v>0.15100000000000002</v>
      </c>
      <c r="L107" s="310">
        <f>I107*(1+'MSCOA - Tariff Structure'!$Q$2)</f>
        <v>1.57393297028</v>
      </c>
      <c r="M107" s="310">
        <f>J107*(1+'MSCOA - Tariff Structure'!$Q$2)</f>
        <v>2.3121624552399997</v>
      </c>
      <c r="N107" s="821">
        <f t="shared" si="44"/>
        <v>0.12199999999999989</v>
      </c>
      <c r="O107" s="364">
        <f>L107*(1+'MSCOA - Tariff Structure'!$R$2)</f>
        <v>1.7659527926541598</v>
      </c>
      <c r="P107" s="364">
        <f>M107*(1+'MSCOA - Tariff Structure'!$R$2)</f>
        <v>2.5942462747792794</v>
      </c>
      <c r="Q107" s="821">
        <f t="shared" si="60"/>
        <v>0.12400000000000011</v>
      </c>
      <c r="R107" s="245">
        <f>O107*(1+'MSCOA - Tariff Structure'!$S$2)</f>
        <v>1.9849309389432759</v>
      </c>
      <c r="S107" s="245">
        <f>P107*(1+'MSCOA - Tariff Structure'!$S$2)</f>
        <v>2.9159328128519104</v>
      </c>
      <c r="T107" s="821">
        <f>(U107/R107-1)*9/12+(V107/S107-1)*3/12</f>
        <v>9.8999999999999977E-2</v>
      </c>
      <c r="U107" s="245">
        <f>R107*(1+'MSCOA - Tariff Structure'!$T$2)</f>
        <v>2.1814391018986603</v>
      </c>
      <c r="V107" s="245">
        <f>S107*(1+'MSCOA - Tariff Structure'!$T$2)</f>
        <v>3.2046101613242497</v>
      </c>
      <c r="W107" s="821">
        <f>(X107/U107-1)*9/12+(Y107/V107-1)*3/12</f>
        <v>7.1900000000000075E-2</v>
      </c>
      <c r="X107" s="364">
        <f>U107*(1+'MSCOA - Tariff Structure'!$U$2)</f>
        <v>2.3382845733251743</v>
      </c>
      <c r="Y107" s="364">
        <f>V107*(1+'MSCOA - Tariff Structure'!$U$2)</f>
        <v>3.4350216319234637</v>
      </c>
    </row>
    <row r="108" spans="1:25" x14ac:dyDescent="0.35">
      <c r="A108" s="352"/>
      <c r="B108" s="352" t="s">
        <v>1344</v>
      </c>
      <c r="C108" s="679">
        <v>1.0003</v>
      </c>
      <c r="D108" s="789">
        <v>1.5226999999999999</v>
      </c>
      <c r="E108" s="317">
        <f>AVERAGE(E103:E107)</f>
        <v>0.14594193978602923</v>
      </c>
      <c r="F108" s="679">
        <v>1.0627187199999999</v>
      </c>
      <c r="G108" s="679">
        <v>1.6177164799999999</v>
      </c>
      <c r="H108" s="543">
        <f>AVERAGE(H103:H107)</f>
        <v>7.4699999999999989E-2</v>
      </c>
      <c r="I108" s="686"/>
      <c r="J108" s="686"/>
      <c r="K108" s="543">
        <f>AVERAGE(K102:K107)</f>
        <v>0.15100000000000002</v>
      </c>
      <c r="L108" s="686"/>
      <c r="M108" s="686"/>
      <c r="N108" s="543">
        <f>AVERAGE(N102:N107)</f>
        <v>0.12199999999999989</v>
      </c>
      <c r="O108" s="822"/>
      <c r="P108" s="822"/>
      <c r="Q108" s="543">
        <f>AVERAGE(Q102:Q107)</f>
        <v>0.12400000000000011</v>
      </c>
      <c r="R108" s="822"/>
      <c r="S108" s="822"/>
      <c r="T108" s="543">
        <f>AVERAGE(T102:T107)</f>
        <v>9.8999999999999977E-2</v>
      </c>
      <c r="U108" s="822"/>
      <c r="V108" s="822"/>
      <c r="W108" s="543">
        <f>AVERAGE(W102:W107)</f>
        <v>7.1900000000000075E-2</v>
      </c>
      <c r="X108" s="822"/>
      <c r="Y108" s="822"/>
    </row>
    <row r="109" spans="1:25" x14ac:dyDescent="0.35">
      <c r="A109" s="356"/>
      <c r="B109" s="356"/>
      <c r="C109" s="681"/>
      <c r="D109" s="792"/>
      <c r="E109" s="356"/>
      <c r="F109" s="681"/>
      <c r="G109" s="681"/>
      <c r="H109" s="357"/>
      <c r="I109" s="37"/>
      <c r="J109" s="37"/>
      <c r="K109" s="357"/>
      <c r="L109" s="37"/>
      <c r="M109" s="37"/>
      <c r="N109" s="248"/>
      <c r="O109" s="245"/>
      <c r="P109" s="245"/>
      <c r="Q109" s="248"/>
      <c r="R109" s="245"/>
      <c r="S109" s="245"/>
      <c r="T109" s="248"/>
      <c r="U109" s="245"/>
      <c r="V109" s="245"/>
      <c r="W109" s="248"/>
      <c r="X109" s="245"/>
      <c r="Y109" s="245"/>
    </row>
    <row r="110" spans="1:25" ht="15" customHeight="1" x14ac:dyDescent="0.35">
      <c r="A110" s="352" t="s">
        <v>271</v>
      </c>
      <c r="B110" s="352"/>
      <c r="C110" s="1161" t="str">
        <f>+$C$4</f>
        <v>2020/2021</v>
      </c>
      <c r="D110" s="1162"/>
      <c r="E110" s="1154" t="str">
        <f>+$E$4</f>
        <v>% Increase (for 21/22)</v>
      </c>
      <c r="F110" s="1158" t="str">
        <f>+F101</f>
        <v>2021/2022</v>
      </c>
      <c r="G110" s="1159"/>
      <c r="H110" s="1154" t="str">
        <f>H101</f>
        <v>% Increase (for 22/23)</v>
      </c>
      <c r="I110" s="1158" t="str">
        <f>I101</f>
        <v>2022/2023</v>
      </c>
      <c r="J110" s="1159"/>
      <c r="K110" s="1154" t="str">
        <f>K101</f>
        <v>% Increase (for 2023/24)</v>
      </c>
      <c r="L110" s="1158" t="str">
        <f>L101</f>
        <v>2023/2024</v>
      </c>
      <c r="M110" s="1159"/>
      <c r="N110" s="1154" t="str">
        <f>$N$4</f>
        <v>% Increase (for 2024/25)</v>
      </c>
      <c r="O110" s="1158" t="str">
        <f>O101</f>
        <v>2024/2025</v>
      </c>
      <c r="P110" s="1159"/>
      <c r="Q110" s="1154" t="str">
        <f>$Q$4</f>
        <v>% Increase (for 2025/26)</v>
      </c>
      <c r="R110" s="1158" t="str">
        <f>R101</f>
        <v>2025/2026</v>
      </c>
      <c r="S110" s="1159"/>
      <c r="T110" s="1152" t="str">
        <f>$T$4</f>
        <v>% Increase (for 2026/27)</v>
      </c>
      <c r="U110" s="1153" t="str">
        <f>U101</f>
        <v>2026/2027</v>
      </c>
      <c r="V110" s="1153"/>
      <c r="W110" s="1152" t="str">
        <f>$W$4</f>
        <v>% Increase (for 2027/28)</v>
      </c>
      <c r="X110" s="1153" t="str">
        <f>X101</f>
        <v>2027/2028</v>
      </c>
      <c r="Y110" s="1153"/>
    </row>
    <row r="111" spans="1:25" x14ac:dyDescent="0.35">
      <c r="A111" s="352"/>
      <c r="B111" s="352"/>
      <c r="C111" s="679" t="s">
        <v>249</v>
      </c>
      <c r="D111" s="789" t="s">
        <v>250</v>
      </c>
      <c r="E111" s="1154"/>
      <c r="F111" s="679" t="s">
        <v>249</v>
      </c>
      <c r="G111" s="679" t="s">
        <v>250</v>
      </c>
      <c r="H111" s="1154"/>
      <c r="I111" s="686" t="s">
        <v>249</v>
      </c>
      <c r="J111" s="686" t="s">
        <v>250</v>
      </c>
      <c r="K111" s="1154"/>
      <c r="L111" s="686" t="s">
        <v>249</v>
      </c>
      <c r="M111" s="686" t="s">
        <v>250</v>
      </c>
      <c r="N111" s="1154"/>
      <c r="O111" s="686" t="s">
        <v>249</v>
      </c>
      <c r="P111" s="686" t="s">
        <v>250</v>
      </c>
      <c r="Q111" s="1154"/>
      <c r="R111" s="686" t="s">
        <v>249</v>
      </c>
      <c r="S111" s="686" t="s">
        <v>250</v>
      </c>
      <c r="T111" s="1152"/>
      <c r="U111" s="843" t="s">
        <v>249</v>
      </c>
      <c r="V111" s="843" t="s">
        <v>250</v>
      </c>
      <c r="W111" s="1152"/>
      <c r="X111" s="843" t="s">
        <v>249</v>
      </c>
      <c r="Y111" s="843" t="s">
        <v>250</v>
      </c>
    </row>
    <row r="112" spans="1:25" x14ac:dyDescent="0.35">
      <c r="A112" s="356"/>
      <c r="B112" s="354" t="s">
        <v>255</v>
      </c>
      <c r="C112" s="310">
        <v>3120.36</v>
      </c>
      <c r="D112" s="797">
        <v>3120.36</v>
      </c>
      <c r="E112" s="357">
        <f t="shared" ref="E112:E116" si="61">(F112/C112-1)*9/12+(G112/D112-1)*3/12</f>
        <v>0.14590044361778753</v>
      </c>
      <c r="F112" s="682">
        <v>3575.6219082471998</v>
      </c>
      <c r="G112" s="682">
        <v>3575.6219082471998</v>
      </c>
      <c r="H112" s="357">
        <f t="shared" ref="H112:H116" si="62">(I112/F112-1)*9/12+(J112/G112-1)*3/12</f>
        <v>7.469999752119616E-2</v>
      </c>
      <c r="I112" s="804">
        <v>3842.7208559300002</v>
      </c>
      <c r="J112" s="804">
        <v>3842.7208559300002</v>
      </c>
      <c r="K112" s="357">
        <f t="shared" ref="K112:K116" si="63">(L112/I112-1)*9/12+(M112/J112-1)*3/12</f>
        <v>0.15100000000000002</v>
      </c>
      <c r="L112" s="310">
        <f>I112*(1+'MSCOA - Tariff Structure'!$Q$2)</f>
        <v>4422.9717051754305</v>
      </c>
      <c r="M112" s="310">
        <f>J112*(1+'MSCOA - Tariff Structure'!$Q$2)</f>
        <v>4422.9717051754305</v>
      </c>
      <c r="N112" s="821">
        <f t="shared" si="44"/>
        <v>0.12199999999999989</v>
      </c>
      <c r="O112" s="364">
        <f>L112*(1+'MSCOA - Tariff Structure'!$R$2)</f>
        <v>4962.5742532068325</v>
      </c>
      <c r="P112" s="364">
        <f>M112*(1+'MSCOA - Tariff Structure'!$R$2)</f>
        <v>4962.5742532068325</v>
      </c>
      <c r="Q112" s="821">
        <f t="shared" ref="Q112:Q116" si="64">(R112/O112-1)*9/12+(S112/P112-1)*3/12</f>
        <v>0.12400000000000011</v>
      </c>
      <c r="R112" s="245">
        <f>O112*(1+'MSCOA - Tariff Structure'!$S$2)</f>
        <v>5577.9334606044804</v>
      </c>
      <c r="S112" s="245">
        <f>P112*(1+'MSCOA - Tariff Structure'!$S$2)</f>
        <v>5577.9334606044804</v>
      </c>
      <c r="T112" s="821">
        <f>(U112/R112-1)*9/12+(V112/S112-1)*3/12</f>
        <v>9.8999999999999977E-2</v>
      </c>
      <c r="U112" s="245">
        <f>R112*(1+'MSCOA - Tariff Structure'!$T$2)</f>
        <v>6130.1488732043235</v>
      </c>
      <c r="V112" s="245">
        <f>S112*(1+'MSCOA - Tariff Structure'!$T$2)</f>
        <v>6130.1488732043235</v>
      </c>
      <c r="W112" s="821">
        <f>(X112/U112-1)*9/12+(Y112/V112-1)*3/12</f>
        <v>7.1900000000000075E-2</v>
      </c>
      <c r="X112" s="364">
        <f>U112*(1+'MSCOA - Tariff Structure'!$U$2)</f>
        <v>6570.9065771877149</v>
      </c>
      <c r="Y112" s="364">
        <f>V112*(1+'MSCOA - Tariff Structure'!$U$2)</f>
        <v>6570.9065771877149</v>
      </c>
    </row>
    <row r="113" spans="1:25" x14ac:dyDescent="0.35">
      <c r="A113" s="354" t="s">
        <v>272</v>
      </c>
      <c r="B113" s="354" t="s">
        <v>1368</v>
      </c>
      <c r="C113" s="310">
        <v>15.48</v>
      </c>
      <c r="D113" s="797">
        <v>15.48</v>
      </c>
      <c r="E113" s="357">
        <f t="shared" si="61"/>
        <v>0.14562270404392774</v>
      </c>
      <c r="F113" s="682">
        <v>17.734239458600001</v>
      </c>
      <c r="G113" s="682">
        <v>17.734239458600001</v>
      </c>
      <c r="H113" s="357">
        <f t="shared" si="62"/>
        <v>7.4655188596653543E-2</v>
      </c>
      <c r="I113" s="804">
        <v>19.05819245</v>
      </c>
      <c r="J113" s="804">
        <v>19.05819245</v>
      </c>
      <c r="K113" s="357">
        <f t="shared" si="63"/>
        <v>0.15100000000000002</v>
      </c>
      <c r="L113" s="310">
        <f>I113*(1+'MSCOA - Tariff Structure'!$Q$2)</f>
        <v>21.935979509950002</v>
      </c>
      <c r="M113" s="310">
        <f>J113*(1+'MSCOA - Tariff Structure'!$Q$2)</f>
        <v>21.935979509950002</v>
      </c>
      <c r="N113" s="821">
        <f t="shared" si="44"/>
        <v>0.12199999999999989</v>
      </c>
      <c r="O113" s="364">
        <f>L113*(1+'MSCOA - Tariff Structure'!$R$2)</f>
        <v>24.6121690101639</v>
      </c>
      <c r="P113" s="364">
        <f>M113*(1+'MSCOA - Tariff Structure'!$R$2)</f>
        <v>24.6121690101639</v>
      </c>
      <c r="Q113" s="821">
        <f t="shared" si="64"/>
        <v>0.12400000000000011</v>
      </c>
      <c r="R113" s="245">
        <f>O113*(1+'MSCOA - Tariff Structure'!$S$2)</f>
        <v>27.664077967424227</v>
      </c>
      <c r="S113" s="245">
        <f>P113*(1+'MSCOA - Tariff Structure'!$S$2)</f>
        <v>27.664077967424227</v>
      </c>
      <c r="T113" s="821">
        <f>(U113/R113-1)*9/12+(V113/S113-1)*3/12</f>
        <v>9.8999999999999977E-2</v>
      </c>
      <c r="U113" s="245">
        <f>R113*(1+'MSCOA - Tariff Structure'!$T$2)</f>
        <v>30.402821686199225</v>
      </c>
      <c r="V113" s="245">
        <f>S113*(1+'MSCOA - Tariff Structure'!$T$2)</f>
        <v>30.402821686199225</v>
      </c>
      <c r="W113" s="821">
        <f>(X113/U113-1)*9/12+(Y113/V113-1)*3/12</f>
        <v>7.1900000000000075E-2</v>
      </c>
      <c r="X113" s="364">
        <f>U113*(1+'MSCOA - Tariff Structure'!$U$2)</f>
        <v>32.588784565436953</v>
      </c>
      <c r="Y113" s="364">
        <f>V113*(1+'MSCOA - Tariff Structure'!$U$2)</f>
        <v>32.588784565436953</v>
      </c>
    </row>
    <row r="114" spans="1:25" x14ac:dyDescent="0.35">
      <c r="A114" s="354" t="s">
        <v>1373</v>
      </c>
      <c r="B114" s="354" t="s">
        <v>1353</v>
      </c>
      <c r="C114" s="310">
        <v>1.9216</v>
      </c>
      <c r="D114" s="797">
        <v>2.7282999999999999</v>
      </c>
      <c r="E114" s="357">
        <f t="shared" si="61"/>
        <v>0.14586000444198616</v>
      </c>
      <c r="F114" s="682">
        <v>2.20186953882</v>
      </c>
      <c r="G114" s="682">
        <v>3.1263139361299999</v>
      </c>
      <c r="H114" s="357">
        <f t="shared" si="62"/>
        <v>7.4718547056466689E-2</v>
      </c>
      <c r="I114" s="804">
        <v>2.3663819300000002</v>
      </c>
      <c r="J114" s="804">
        <v>3.3599420799999997</v>
      </c>
      <c r="K114" s="357">
        <f t="shared" si="63"/>
        <v>0.15100000000000002</v>
      </c>
      <c r="L114" s="310">
        <f>I114*(1+'MSCOA - Tariff Structure'!$Q$2)</f>
        <v>2.7237056014300003</v>
      </c>
      <c r="M114" s="310">
        <f>J114*(1+'MSCOA - Tariff Structure'!$Q$2)</f>
        <v>3.8672933340799998</v>
      </c>
      <c r="N114" s="821">
        <f t="shared" si="44"/>
        <v>0.12199999999999989</v>
      </c>
      <c r="O114" s="364">
        <f>L114*(1+'MSCOA - Tariff Structure'!$R$2)</f>
        <v>3.0559976848044599</v>
      </c>
      <c r="P114" s="364">
        <f>M114*(1+'MSCOA - Tariff Structure'!$R$2)</f>
        <v>4.3391031208377591</v>
      </c>
      <c r="Q114" s="821">
        <f t="shared" si="64"/>
        <v>0.12400000000000011</v>
      </c>
      <c r="R114" s="245">
        <f>O114*(1+'MSCOA - Tariff Structure'!$S$2)</f>
        <v>3.4349413977202135</v>
      </c>
      <c r="S114" s="245">
        <f>P114*(1+'MSCOA - Tariff Structure'!$S$2)</f>
        <v>4.8771519078216414</v>
      </c>
      <c r="T114" s="821">
        <f>(U114/R114-1)*9/12+(V114/S114-1)*3/12</f>
        <v>9.8999999999999977E-2</v>
      </c>
      <c r="U114" s="245">
        <f>R114*(1+'MSCOA - Tariff Structure'!$T$2)</f>
        <v>3.7750005960945145</v>
      </c>
      <c r="V114" s="245">
        <f>S114*(1+'MSCOA - Tariff Structure'!$T$2)</f>
        <v>5.3599899466959835</v>
      </c>
      <c r="W114" s="821">
        <f>(X114/U114-1)*9/12+(Y114/V114-1)*3/12</f>
        <v>7.1900000000000075E-2</v>
      </c>
      <c r="X114" s="364">
        <f>U114*(1+'MSCOA - Tariff Structure'!$U$2)</f>
        <v>4.0464231389537106</v>
      </c>
      <c r="Y114" s="364">
        <f>V114*(1+'MSCOA - Tariff Structure'!$U$2)</f>
        <v>5.7453732238634254</v>
      </c>
    </row>
    <row r="115" spans="1:25" x14ac:dyDescent="0.35">
      <c r="A115" s="354" t="s">
        <v>273</v>
      </c>
      <c r="B115" s="354" t="s">
        <v>1355</v>
      </c>
      <c r="C115" s="310">
        <v>1.5657000000000001</v>
      </c>
      <c r="D115" s="797">
        <v>2.2597</v>
      </c>
      <c r="E115" s="357">
        <f t="shared" si="61"/>
        <v>0.14589363689867441</v>
      </c>
      <c r="F115" s="682">
        <v>1.7941159205200001</v>
      </c>
      <c r="G115" s="682">
        <v>2.5894180524520003</v>
      </c>
      <c r="H115" s="357">
        <f t="shared" si="62"/>
        <v>7.4735900468366645E-2</v>
      </c>
      <c r="I115" s="804">
        <v>1.9282267399999999</v>
      </c>
      <c r="J115" s="804">
        <v>2.7828281800000001</v>
      </c>
      <c r="K115" s="357">
        <f t="shared" si="63"/>
        <v>0.15100000000000002</v>
      </c>
      <c r="L115" s="310">
        <f>I115*(1+'MSCOA - Tariff Structure'!$Q$2)</f>
        <v>2.21938897774</v>
      </c>
      <c r="M115" s="310">
        <f>J115*(1+'MSCOA - Tariff Structure'!$Q$2)</f>
        <v>3.2030352351800002</v>
      </c>
      <c r="N115" s="821">
        <f t="shared" si="44"/>
        <v>0.12199999999999989</v>
      </c>
      <c r="O115" s="364">
        <f>L115*(1+'MSCOA - Tariff Structure'!$R$2)</f>
        <v>2.4901544330242795</v>
      </c>
      <c r="P115" s="364">
        <f>M115*(1+'MSCOA - Tariff Structure'!$R$2)</f>
        <v>3.5938055338719597</v>
      </c>
      <c r="Q115" s="821">
        <f t="shared" si="64"/>
        <v>0.12400000000000011</v>
      </c>
      <c r="R115" s="245">
        <f>O115*(1+'MSCOA - Tariff Structure'!$S$2)</f>
        <v>2.7989335827192905</v>
      </c>
      <c r="S115" s="245">
        <f>P115*(1+'MSCOA - Tariff Structure'!$S$2)</f>
        <v>4.0394374200720833</v>
      </c>
      <c r="T115" s="821">
        <f>(U115/R115-1)*9/12+(V115/S115-1)*3/12</f>
        <v>9.8999999999999977E-2</v>
      </c>
      <c r="U115" s="245">
        <f>R115*(1+'MSCOA - Tariff Structure'!$T$2)</f>
        <v>3.0760280074085</v>
      </c>
      <c r="V115" s="245">
        <f>S115*(1+'MSCOA - Tariff Structure'!$T$2)</f>
        <v>4.4393417246592195</v>
      </c>
      <c r="W115" s="821">
        <f>(X115/U115-1)*9/12+(Y115/V115-1)*3/12</f>
        <v>7.1900000000000075E-2</v>
      </c>
      <c r="X115" s="364">
        <f>U115*(1+'MSCOA - Tariff Structure'!$U$2)</f>
        <v>3.2971944211411714</v>
      </c>
      <c r="Y115" s="364">
        <f>V115*(1+'MSCOA - Tariff Structure'!$U$2)</f>
        <v>4.7585303946622179</v>
      </c>
    </row>
    <row r="116" spans="1:25" x14ac:dyDescent="0.35">
      <c r="A116" s="354" t="s">
        <v>274</v>
      </c>
      <c r="B116" s="354" t="s">
        <v>1369</v>
      </c>
      <c r="C116" s="310">
        <v>1.1235999999999999</v>
      </c>
      <c r="D116" s="797">
        <v>1.5780000000000001</v>
      </c>
      <c r="E116" s="357">
        <f t="shared" si="61"/>
        <v>0.14589708222183806</v>
      </c>
      <c r="F116" s="682">
        <v>1.2875276938440001</v>
      </c>
      <c r="G116" s="682">
        <v>1.8082351502880001</v>
      </c>
      <c r="H116" s="357">
        <f t="shared" si="62"/>
        <v>7.4677440177027932E-2</v>
      </c>
      <c r="I116" s="804">
        <v>1.3836762500000002</v>
      </c>
      <c r="J116" s="804">
        <v>1.9432725400000002</v>
      </c>
      <c r="K116" s="357">
        <f t="shared" si="63"/>
        <v>0.15100000000000002</v>
      </c>
      <c r="L116" s="310">
        <f>I116*(1+'MSCOA - Tariff Structure'!$Q$2)</f>
        <v>1.5926113637500001</v>
      </c>
      <c r="M116" s="310">
        <f>J116*(1+'MSCOA - Tariff Structure'!$Q$2)</f>
        <v>2.2367066935400004</v>
      </c>
      <c r="N116" s="821">
        <f t="shared" si="44"/>
        <v>0.12199999999999989</v>
      </c>
      <c r="O116" s="364">
        <f>L116*(1+'MSCOA - Tariff Structure'!$R$2)</f>
        <v>1.7869099501274999</v>
      </c>
      <c r="P116" s="364">
        <f>M116*(1+'MSCOA - Tariff Structure'!$R$2)</f>
        <v>2.5095849101518803</v>
      </c>
      <c r="Q116" s="821">
        <f t="shared" si="64"/>
        <v>0.12400000000000028</v>
      </c>
      <c r="R116" s="245">
        <f>O116*(1+'MSCOA - Tariff Structure'!$S$2)</f>
        <v>2.0084867839433103</v>
      </c>
      <c r="S116" s="245">
        <f>P116*(1+'MSCOA - Tariff Structure'!$S$2)</f>
        <v>2.820773439010714</v>
      </c>
      <c r="T116" s="821">
        <f>(U116/R116-1)*9/12+(V116/S116-1)*3/12</f>
        <v>9.8999999999999977E-2</v>
      </c>
      <c r="U116" s="245">
        <f>R116*(1+'MSCOA - Tariff Structure'!$T$2)</f>
        <v>2.2073269755536979</v>
      </c>
      <c r="V116" s="245">
        <f>S116*(1+'MSCOA - Tariff Structure'!$T$2)</f>
        <v>3.1000300094727744</v>
      </c>
      <c r="W116" s="821">
        <f>(X116/U116-1)*9/12+(Y116/V116-1)*3/12</f>
        <v>7.1900000000000075E-2</v>
      </c>
      <c r="X116" s="364">
        <f>U116*(1+'MSCOA - Tariff Structure'!$U$2)</f>
        <v>2.3660337850960089</v>
      </c>
      <c r="Y116" s="364">
        <f>V116*(1+'MSCOA - Tariff Structure'!$U$2)</f>
        <v>3.3229221671538669</v>
      </c>
    </row>
    <row r="117" spans="1:25" x14ac:dyDescent="0.35">
      <c r="A117" s="352"/>
      <c r="B117" s="352" t="s">
        <v>1344</v>
      </c>
      <c r="C117" s="679"/>
      <c r="D117" s="789"/>
      <c r="E117" s="317">
        <f>AVERAGE(E112:E116)</f>
        <v>0.14583477424484276</v>
      </c>
      <c r="F117" s="679"/>
      <c r="G117" s="679"/>
      <c r="H117" s="543">
        <f>AVERAGE(H112:H116)</f>
        <v>7.4697414763942191E-2</v>
      </c>
      <c r="I117" s="686"/>
      <c r="J117" s="686"/>
      <c r="K117" s="543">
        <f>AVERAGE(K111:K116)</f>
        <v>0.15100000000000002</v>
      </c>
      <c r="L117" s="686"/>
      <c r="M117" s="686"/>
      <c r="N117" s="543">
        <f>AVERAGE(N111:N116)</f>
        <v>0.12199999999999989</v>
      </c>
      <c r="O117" s="822"/>
      <c r="P117" s="822"/>
      <c r="Q117" s="543">
        <f>AVERAGE(Q111:Q116)</f>
        <v>0.12400000000000015</v>
      </c>
      <c r="R117" s="822"/>
      <c r="S117" s="822"/>
      <c r="T117" s="543">
        <f>AVERAGE(T111:T116)</f>
        <v>9.8999999999999977E-2</v>
      </c>
      <c r="U117" s="822"/>
      <c r="V117" s="822"/>
      <c r="W117" s="543">
        <f>AVERAGE(W111:W116)</f>
        <v>7.1900000000000075E-2</v>
      </c>
      <c r="X117" s="822"/>
      <c r="Y117" s="822"/>
    </row>
    <row r="118" spans="1:25" x14ac:dyDescent="0.35">
      <c r="A118" s="356"/>
      <c r="B118" s="356"/>
      <c r="C118" s="681"/>
      <c r="D118" s="792"/>
      <c r="E118" s="356"/>
      <c r="F118" s="681"/>
      <c r="G118" s="681"/>
      <c r="H118" s="357"/>
      <c r="I118" s="37"/>
      <c r="J118" s="37"/>
      <c r="K118" s="357"/>
      <c r="L118" s="37"/>
      <c r="M118" s="37"/>
      <c r="N118" s="248"/>
      <c r="O118" s="245"/>
      <c r="P118" s="245"/>
      <c r="Q118" s="248"/>
      <c r="R118" s="245"/>
      <c r="S118" s="245"/>
      <c r="T118" s="248"/>
      <c r="U118" s="245"/>
      <c r="V118" s="245"/>
      <c r="W118" s="248"/>
      <c r="X118" s="245"/>
      <c r="Y118" s="245"/>
    </row>
    <row r="119" spans="1:25" ht="15" customHeight="1" x14ac:dyDescent="0.35">
      <c r="A119" s="352" t="s">
        <v>275</v>
      </c>
      <c r="B119" s="352"/>
      <c r="C119" s="1161" t="str">
        <f>+$C$4</f>
        <v>2020/2021</v>
      </c>
      <c r="D119" s="1162"/>
      <c r="E119" s="1154" t="str">
        <f>+$E$4</f>
        <v>% Increase (for 21/22)</v>
      </c>
      <c r="F119" s="1158" t="str">
        <f>+F110</f>
        <v>2021/2022</v>
      </c>
      <c r="G119" s="1159"/>
      <c r="H119" s="1154" t="str">
        <f>H101</f>
        <v>% Increase (for 22/23)</v>
      </c>
      <c r="I119" s="1158" t="str">
        <f>I110</f>
        <v>2022/2023</v>
      </c>
      <c r="J119" s="1159"/>
      <c r="K119" s="1154" t="str">
        <f>K110</f>
        <v>% Increase (for 2023/24)</v>
      </c>
      <c r="L119" s="1158" t="str">
        <f>L110</f>
        <v>2023/2024</v>
      </c>
      <c r="M119" s="1159"/>
      <c r="N119" s="1154" t="str">
        <f>$N$4</f>
        <v>% Increase (for 2024/25)</v>
      </c>
      <c r="O119" s="1158" t="str">
        <f>O110</f>
        <v>2024/2025</v>
      </c>
      <c r="P119" s="1159"/>
      <c r="Q119" s="1154" t="str">
        <f>$Q$4</f>
        <v>% Increase (for 2025/26)</v>
      </c>
      <c r="R119" s="1158" t="str">
        <f>R110</f>
        <v>2025/2026</v>
      </c>
      <c r="S119" s="1159"/>
      <c r="T119" s="1152" t="str">
        <f>$T$4</f>
        <v>% Increase (for 2026/27)</v>
      </c>
      <c r="U119" s="1153" t="str">
        <f>U110</f>
        <v>2026/2027</v>
      </c>
      <c r="V119" s="1153"/>
      <c r="W119" s="1152" t="str">
        <f>$W$4</f>
        <v>% Increase (for 2027/28)</v>
      </c>
      <c r="X119" s="1153" t="str">
        <f>X110</f>
        <v>2027/2028</v>
      </c>
      <c r="Y119" s="1153"/>
    </row>
    <row r="120" spans="1:25" x14ac:dyDescent="0.35">
      <c r="A120" s="352"/>
      <c r="B120" s="352"/>
      <c r="C120" s="679" t="s">
        <v>249</v>
      </c>
      <c r="D120" s="789" t="s">
        <v>250</v>
      </c>
      <c r="E120" s="1154"/>
      <c r="F120" s="679" t="s">
        <v>249</v>
      </c>
      <c r="G120" s="679" t="s">
        <v>250</v>
      </c>
      <c r="H120" s="1154"/>
      <c r="I120" s="686" t="s">
        <v>249</v>
      </c>
      <c r="J120" s="686" t="s">
        <v>250</v>
      </c>
      <c r="K120" s="1154"/>
      <c r="L120" s="686" t="s">
        <v>249</v>
      </c>
      <c r="M120" s="686" t="s">
        <v>250</v>
      </c>
      <c r="N120" s="1154"/>
      <c r="O120" s="686" t="s">
        <v>249</v>
      </c>
      <c r="P120" s="686" t="s">
        <v>250</v>
      </c>
      <c r="Q120" s="1154"/>
      <c r="R120" s="686" t="s">
        <v>249</v>
      </c>
      <c r="S120" s="686" t="s">
        <v>250</v>
      </c>
      <c r="T120" s="1152"/>
      <c r="U120" s="843" t="s">
        <v>249</v>
      </c>
      <c r="V120" s="843" t="s">
        <v>250</v>
      </c>
      <c r="W120" s="1152"/>
      <c r="X120" s="843" t="s">
        <v>249</v>
      </c>
      <c r="Y120" s="843" t="s">
        <v>250</v>
      </c>
    </row>
    <row r="121" spans="1:25" x14ac:dyDescent="0.35">
      <c r="A121" s="354" t="s">
        <v>276</v>
      </c>
      <c r="B121" s="354" t="s">
        <v>1353</v>
      </c>
      <c r="C121" s="37">
        <v>3.0590999999999999</v>
      </c>
      <c r="D121" s="797">
        <v>5.4776999999999996</v>
      </c>
      <c r="E121" s="357">
        <f t="shared" ref="E121:E123" si="65">(F121/C121-1)*9/12+(G121/D121-1)*3/12</f>
        <v>0.14590797903592401</v>
      </c>
      <c r="F121" s="682">
        <v>3.5054639424</v>
      </c>
      <c r="G121" s="682">
        <v>6.2768496543619996</v>
      </c>
      <c r="H121" s="357">
        <f t="shared" ref="H121:H123" si="66">(I121/F121-1)*9/12+(J121/G121-1)*3/12</f>
        <v>7.4706165453572893E-2</v>
      </c>
      <c r="I121" s="315">
        <v>3.7673608500000002</v>
      </c>
      <c r="J121" s="315">
        <v>6.7456769599999999</v>
      </c>
      <c r="K121" s="357">
        <f t="shared" ref="K121:K123" si="67">(L121/I121-1)*9/12+(M121/J121-1)*3/12</f>
        <v>0.15100000000000002</v>
      </c>
      <c r="L121" s="310">
        <f>I121*(1+'MSCOA - Tariff Structure'!$Q$2)</f>
        <v>4.3362323383500003</v>
      </c>
      <c r="M121" s="310">
        <f>J121*(1+'MSCOA - Tariff Structure'!$Q$2)</f>
        <v>7.7642741809600002</v>
      </c>
      <c r="N121" s="821">
        <f t="shared" si="44"/>
        <v>0.12199999999999989</v>
      </c>
      <c r="O121" s="364">
        <f>L121*(1+'MSCOA - Tariff Structure'!$R$2)</f>
        <v>4.8652526836287002</v>
      </c>
      <c r="P121" s="364">
        <f>M121*(1+'MSCOA - Tariff Structure'!$R$2)</f>
        <v>8.7115156310371198</v>
      </c>
      <c r="Q121" s="821">
        <f t="shared" ref="Q121:Q123" si="68">(R121/O121-1)*9/12+(S121/P121-1)*3/12</f>
        <v>0.12400000000000011</v>
      </c>
      <c r="R121" s="245">
        <f>O121*(1+'MSCOA - Tariff Structure'!$S$2)</f>
        <v>5.4685440163986598</v>
      </c>
      <c r="S121" s="245">
        <f>P121*(1+'MSCOA - Tariff Structure'!$S$2)</f>
        <v>9.7917435692857229</v>
      </c>
      <c r="T121" s="821">
        <f>(U121/R121-1)*9/12+(V121/S121-1)*3/12</f>
        <v>9.8999999999999977E-2</v>
      </c>
      <c r="U121" s="245">
        <f>R121*(1+'MSCOA - Tariff Structure'!$T$2)</f>
        <v>6.0099298740221272</v>
      </c>
      <c r="V121" s="245">
        <f>S121*(1+'MSCOA - Tariff Structure'!$T$2)</f>
        <v>10.761126182645009</v>
      </c>
      <c r="W121" s="821">
        <f>(X121/U121-1)*9/12+(Y121/V121-1)*3/12</f>
        <v>7.1900000000000075E-2</v>
      </c>
      <c r="X121" s="364">
        <f>U121*(1+'MSCOA - Tariff Structure'!$U$2)</f>
        <v>6.4420438319643187</v>
      </c>
      <c r="Y121" s="364">
        <f>V121*(1+'MSCOA - Tariff Structure'!$U$2)</f>
        <v>11.534851155177186</v>
      </c>
    </row>
    <row r="122" spans="1:25" x14ac:dyDescent="0.35">
      <c r="A122" s="354" t="s">
        <v>277</v>
      </c>
      <c r="B122" s="354" t="s">
        <v>1355</v>
      </c>
      <c r="C122" s="37">
        <v>1.9347000000000001</v>
      </c>
      <c r="D122" s="797">
        <v>2.9676</v>
      </c>
      <c r="E122" s="357">
        <f t="shared" si="65"/>
        <v>0.14589356245405266</v>
      </c>
      <c r="F122" s="682">
        <v>2.2169625085719997</v>
      </c>
      <c r="G122" s="682">
        <v>3.400543459124</v>
      </c>
      <c r="H122" s="357">
        <f t="shared" si="66"/>
        <v>7.4718098087498852E-2</v>
      </c>
      <c r="I122" s="315">
        <v>2.3826099000000003</v>
      </c>
      <c r="J122" s="315">
        <v>3.65462482</v>
      </c>
      <c r="K122" s="357">
        <f t="shared" si="67"/>
        <v>0.15100000000000002</v>
      </c>
      <c r="L122" s="310">
        <f>I122*(1+'MSCOA - Tariff Structure'!$Q$2)</f>
        <v>2.7423839949000004</v>
      </c>
      <c r="M122" s="310">
        <f>J122*(1+'MSCOA - Tariff Structure'!$Q$2)</f>
        <v>4.2064731678200005</v>
      </c>
      <c r="N122" s="821">
        <f t="shared" si="44"/>
        <v>0.12199999999999989</v>
      </c>
      <c r="O122" s="364">
        <f>L122*(1+'MSCOA - Tariff Structure'!$R$2)</f>
        <v>3.0769548422778001</v>
      </c>
      <c r="P122" s="364">
        <f>M122*(1+'MSCOA - Tariff Structure'!$R$2)</f>
        <v>4.7196628942940402</v>
      </c>
      <c r="Q122" s="821">
        <f t="shared" si="68"/>
        <v>0.12400000000000011</v>
      </c>
      <c r="R122" s="245">
        <f>O122*(1+'MSCOA - Tariff Structure'!$S$2)</f>
        <v>3.4584972427202478</v>
      </c>
      <c r="S122" s="245">
        <f>P122*(1+'MSCOA - Tariff Structure'!$S$2)</f>
        <v>5.3049010931865013</v>
      </c>
      <c r="T122" s="821">
        <f>(U122/R122-1)*9/12+(V122/S122-1)*3/12</f>
        <v>9.8999999999999977E-2</v>
      </c>
      <c r="U122" s="245">
        <f>R122*(1+'MSCOA - Tariff Structure'!$T$2)</f>
        <v>3.8008884697495522</v>
      </c>
      <c r="V122" s="245">
        <f>S122*(1+'MSCOA - Tariff Structure'!$T$2)</f>
        <v>5.8300863014119644</v>
      </c>
      <c r="W122" s="821">
        <f>(X122/U122-1)*9/12+(Y122/V122-1)*3/12</f>
        <v>7.1900000000000075E-2</v>
      </c>
      <c r="X122" s="364">
        <f>U122*(1+'MSCOA - Tariff Structure'!$U$2)</f>
        <v>4.0741723507245453</v>
      </c>
      <c r="Y122" s="364">
        <f>V122*(1+'MSCOA - Tariff Structure'!$U$2)</f>
        <v>6.2492695064834853</v>
      </c>
    </row>
    <row r="123" spans="1:25" x14ac:dyDescent="0.35">
      <c r="A123" s="354" t="s">
        <v>278</v>
      </c>
      <c r="B123" s="354" t="s">
        <v>1369</v>
      </c>
      <c r="C123" s="37">
        <v>1.6472</v>
      </c>
      <c r="D123" s="797">
        <v>2.6669999999999998</v>
      </c>
      <c r="E123" s="357">
        <f t="shared" si="65"/>
        <v>0.14592814633087614</v>
      </c>
      <c r="F123" s="682">
        <v>1.8875949589839998</v>
      </c>
      <c r="G123" s="682">
        <v>3.0560829397839999</v>
      </c>
      <c r="H123" s="357">
        <f t="shared" si="66"/>
        <v>7.4660951255391628E-2</v>
      </c>
      <c r="I123" s="315">
        <v>2.0284962499999999</v>
      </c>
      <c r="J123" s="315">
        <v>3.2843906699999996</v>
      </c>
      <c r="K123" s="357">
        <f t="shared" si="67"/>
        <v>0.15100000000000002</v>
      </c>
      <c r="L123" s="310">
        <f>I123*(1+'MSCOA - Tariff Structure'!$Q$2)</f>
        <v>2.33479918375</v>
      </c>
      <c r="M123" s="310">
        <f>J123*(1+'MSCOA - Tariff Structure'!$Q$2)</f>
        <v>3.7803336611699998</v>
      </c>
      <c r="N123" s="821">
        <f t="shared" si="44"/>
        <v>0.12199999999999989</v>
      </c>
      <c r="O123" s="364">
        <f>L123*(1+'MSCOA - Tariff Structure'!$R$2)</f>
        <v>2.6196446841674996</v>
      </c>
      <c r="P123" s="364">
        <f>M123*(1+'MSCOA - Tariff Structure'!$R$2)</f>
        <v>4.2415343678327391</v>
      </c>
      <c r="Q123" s="821">
        <f t="shared" si="68"/>
        <v>0.12400000000000011</v>
      </c>
      <c r="R123" s="245">
        <f>O123*(1+'MSCOA - Tariff Structure'!$S$2)</f>
        <v>2.9444806250042697</v>
      </c>
      <c r="S123" s="245">
        <f>P123*(1+'MSCOA - Tariff Structure'!$S$2)</f>
        <v>4.7674846294439988</v>
      </c>
      <c r="T123" s="821">
        <f>(U123/R123-1)*9/12+(V123/S123-1)*3/12</f>
        <v>9.8999999999999977E-2</v>
      </c>
      <c r="U123" s="245">
        <f>R123*(1+'MSCOA - Tariff Structure'!$T$2)</f>
        <v>3.2359842068796922</v>
      </c>
      <c r="V123" s="245">
        <f>S123*(1+'MSCOA - Tariff Structure'!$T$2)</f>
        <v>5.2394656077589543</v>
      </c>
      <c r="W123" s="821">
        <f>(X123/U123-1)*9/12+(Y123/V123-1)*3/12</f>
        <v>7.1900000000000075E-2</v>
      </c>
      <c r="X123" s="364">
        <f>U123*(1+'MSCOA - Tariff Structure'!$U$2)</f>
        <v>3.4686514713543422</v>
      </c>
      <c r="Y123" s="364">
        <f>V123*(1+'MSCOA - Tariff Structure'!$U$2)</f>
        <v>5.6161831849568236</v>
      </c>
    </row>
    <row r="124" spans="1:25" x14ac:dyDescent="0.35">
      <c r="A124" s="352"/>
      <c r="B124" s="352" t="s">
        <v>1344</v>
      </c>
      <c r="C124" s="684"/>
      <c r="D124" s="789"/>
      <c r="E124" s="317">
        <f>AVERAGE(E121:E123)</f>
        <v>0.14590989594028428</v>
      </c>
      <c r="F124" s="684"/>
      <c r="G124" s="679"/>
      <c r="H124" s="543">
        <f>AVERAGE(H121:H123)</f>
        <v>7.4695071598821119E-2</v>
      </c>
      <c r="I124" s="686"/>
      <c r="J124" s="686"/>
      <c r="K124" s="543">
        <f>AVERAGE(K121:K123)</f>
        <v>0.15100000000000002</v>
      </c>
      <c r="L124" s="686"/>
      <c r="M124" s="686"/>
      <c r="N124" s="543">
        <f>AVERAGE(N121:N123)</f>
        <v>0.12199999999999989</v>
      </c>
      <c r="O124" s="822"/>
      <c r="P124" s="822"/>
      <c r="Q124" s="543">
        <f>AVERAGE(Q121:Q123)</f>
        <v>0.12400000000000011</v>
      </c>
      <c r="R124" s="822"/>
      <c r="S124" s="822"/>
      <c r="T124" s="543">
        <f>AVERAGE(T121:T123)</f>
        <v>9.8999999999999977E-2</v>
      </c>
      <c r="U124" s="822"/>
      <c r="V124" s="822"/>
      <c r="W124" s="543">
        <f>AVERAGE(W121:W123)</f>
        <v>7.1900000000000075E-2</v>
      </c>
      <c r="X124" s="822"/>
      <c r="Y124" s="822"/>
    </row>
    <row r="125" spans="1:25" x14ac:dyDescent="0.35">
      <c r="A125" s="356"/>
      <c r="B125" s="356"/>
      <c r="C125" s="681"/>
      <c r="D125" s="792"/>
      <c r="E125" s="356"/>
      <c r="F125" s="681"/>
      <c r="G125" s="681"/>
      <c r="H125" s="357"/>
      <c r="I125" s="688"/>
      <c r="J125" s="688"/>
      <c r="K125" s="357"/>
      <c r="L125" s="37"/>
      <c r="M125" s="37"/>
      <c r="N125" s="248"/>
      <c r="O125" s="245"/>
      <c r="P125" s="245"/>
      <c r="Q125" s="248"/>
      <c r="R125" s="245"/>
      <c r="S125" s="245"/>
      <c r="T125" s="248"/>
      <c r="U125" s="245"/>
      <c r="V125" s="245"/>
      <c r="W125" s="248"/>
      <c r="X125" s="245"/>
      <c r="Y125" s="245"/>
    </row>
    <row r="126" spans="1:25" ht="15" customHeight="1" x14ac:dyDescent="0.35">
      <c r="A126" s="352" t="s">
        <v>1374</v>
      </c>
      <c r="B126" s="352"/>
      <c r="C126" s="1161" t="str">
        <f>+$C$4</f>
        <v>2020/2021</v>
      </c>
      <c r="D126" s="1162"/>
      <c r="E126" s="1154" t="str">
        <f>+$E$4</f>
        <v>% Increase (for 21/22)</v>
      </c>
      <c r="F126" s="1158" t="str">
        <f>+F119</f>
        <v>2021/2022</v>
      </c>
      <c r="G126" s="1159"/>
      <c r="H126" s="1154" t="str">
        <f>H119</f>
        <v>% Increase (for 22/23)</v>
      </c>
      <c r="I126" s="1158" t="str">
        <f>I119</f>
        <v>2022/2023</v>
      </c>
      <c r="J126" s="1159"/>
      <c r="K126" s="1154" t="str">
        <f>K119</f>
        <v>% Increase (for 2023/24)</v>
      </c>
      <c r="L126" s="1158" t="str">
        <f>L119</f>
        <v>2023/2024</v>
      </c>
      <c r="M126" s="1159"/>
      <c r="N126" s="1154" t="str">
        <f>$N$4</f>
        <v>% Increase (for 2024/25)</v>
      </c>
      <c r="O126" s="1158" t="str">
        <f>O119</f>
        <v>2024/2025</v>
      </c>
      <c r="P126" s="1159"/>
      <c r="Q126" s="1154" t="str">
        <f>$Q$4</f>
        <v>% Increase (for 2025/26)</v>
      </c>
      <c r="R126" s="1158" t="str">
        <f>R119</f>
        <v>2025/2026</v>
      </c>
      <c r="S126" s="1159"/>
      <c r="T126" s="1152" t="str">
        <f>$T$4</f>
        <v>% Increase (for 2026/27)</v>
      </c>
      <c r="U126" s="1153" t="str">
        <f>U119</f>
        <v>2026/2027</v>
      </c>
      <c r="V126" s="1153"/>
      <c r="W126" s="1152" t="str">
        <f>$W$4</f>
        <v>% Increase (for 2027/28)</v>
      </c>
      <c r="X126" s="1153" t="str">
        <f>X119</f>
        <v>2027/2028</v>
      </c>
      <c r="Y126" s="1153"/>
    </row>
    <row r="127" spans="1:25" x14ac:dyDescent="0.35">
      <c r="A127" s="352"/>
      <c r="B127" s="352"/>
      <c r="C127" s="679" t="s">
        <v>249</v>
      </c>
      <c r="D127" s="789" t="s">
        <v>250</v>
      </c>
      <c r="E127" s="1154"/>
      <c r="F127" s="679" t="s">
        <v>249</v>
      </c>
      <c r="G127" s="679" t="s">
        <v>250</v>
      </c>
      <c r="H127" s="1154"/>
      <c r="I127" s="686" t="s">
        <v>249</v>
      </c>
      <c r="J127" s="686" t="s">
        <v>250</v>
      </c>
      <c r="K127" s="1154"/>
      <c r="L127" s="686" t="s">
        <v>249</v>
      </c>
      <c r="M127" s="686" t="s">
        <v>250</v>
      </c>
      <c r="N127" s="1154"/>
      <c r="O127" s="686" t="s">
        <v>249</v>
      </c>
      <c r="P127" s="686" t="s">
        <v>250</v>
      </c>
      <c r="Q127" s="1154"/>
      <c r="R127" s="686" t="s">
        <v>249</v>
      </c>
      <c r="S127" s="686" t="s">
        <v>250</v>
      </c>
      <c r="T127" s="1152"/>
      <c r="U127" s="843" t="s">
        <v>249</v>
      </c>
      <c r="V127" s="843" t="s">
        <v>250</v>
      </c>
      <c r="W127" s="1152"/>
      <c r="X127" s="843" t="s">
        <v>249</v>
      </c>
      <c r="Y127" s="843" t="s">
        <v>250</v>
      </c>
    </row>
    <row r="128" spans="1:25" x14ac:dyDescent="0.35">
      <c r="A128" s="356"/>
      <c r="B128" s="354" t="s">
        <v>1353</v>
      </c>
      <c r="C128" s="37">
        <v>1.8564000000000001</v>
      </c>
      <c r="D128" s="793">
        <v>3.4906000000000001</v>
      </c>
      <c r="E128" s="357">
        <f t="shared" ref="E128:E130" si="69">(F128/C128-1)*9/12+(G128/D128-1)*3/12</f>
        <v>0.14591507625003464</v>
      </c>
      <c r="F128" s="682">
        <v>2.1273</v>
      </c>
      <c r="G128" s="682">
        <v>3.9998</v>
      </c>
      <c r="H128" s="357">
        <f t="shared" ref="H128:H130" si="70">(I128/F128-1)*9/12+(J128/G128-1)*3/12</f>
        <v>7.4699999999999989E-2</v>
      </c>
      <c r="I128" s="315">
        <v>2.2862093099999998</v>
      </c>
      <c r="J128" s="315">
        <v>4.2985850599999997</v>
      </c>
      <c r="K128" s="357">
        <f t="shared" ref="K128:K130" si="71">(L128/I128-1)*9/12+(M128/J128-1)*3/12</f>
        <v>0.15100000000000002</v>
      </c>
      <c r="L128" s="310">
        <f>I128*(1+'MSCOA - Tariff Structure'!$Q$2)</f>
        <v>2.6314269158099997</v>
      </c>
      <c r="M128" s="310">
        <f>J128*(1+'MSCOA - Tariff Structure'!$Q$2)</f>
        <v>4.9476714040599994</v>
      </c>
      <c r="N128" s="821">
        <f t="shared" si="44"/>
        <v>0.12199999999999989</v>
      </c>
      <c r="O128" s="364">
        <f>L128*(1+'MSCOA - Tariff Structure'!$R$2)</f>
        <v>2.9524609995388191</v>
      </c>
      <c r="P128" s="364">
        <f>M128*(1+'MSCOA - Tariff Structure'!$R$2)</f>
        <v>5.5512873153553191</v>
      </c>
      <c r="Q128" s="821">
        <f t="shared" ref="Q128:Q130" si="72">(R128/O128-1)*9/12+(S128/P128-1)*3/12</f>
        <v>0.12400000000000011</v>
      </c>
      <c r="R128" s="245">
        <f>O128*(1+'MSCOA - Tariff Structure'!$S$2)</f>
        <v>3.3185661634816332</v>
      </c>
      <c r="S128" s="245">
        <f>P128*(1+'MSCOA - Tariff Structure'!$S$2)</f>
        <v>6.2396469424593795</v>
      </c>
      <c r="T128" s="821">
        <f>(U128/R128-1)*9/12+(V128/S128-1)*3/12</f>
        <v>9.8999999999999977E-2</v>
      </c>
      <c r="U128" s="245">
        <f>R128*(1+'MSCOA - Tariff Structure'!$T$2)</f>
        <v>3.647104213666315</v>
      </c>
      <c r="V128" s="245">
        <f>S128*(1+'MSCOA - Tariff Structure'!$T$2)</f>
        <v>6.857371989762858</v>
      </c>
      <c r="W128" s="821">
        <f>(X128/U128-1)*9/12+(Y128/V128-1)*3/12</f>
        <v>7.1900000000000075E-2</v>
      </c>
      <c r="X128" s="364">
        <f>U128*(1+'MSCOA - Tariff Structure'!$U$2)</f>
        <v>3.9093310066289235</v>
      </c>
      <c r="Y128" s="364">
        <f>V128*(1+'MSCOA - Tariff Structure'!$U$2)</f>
        <v>7.3504170358268084</v>
      </c>
    </row>
    <row r="129" spans="1:25" x14ac:dyDescent="0.35">
      <c r="A129" s="356"/>
      <c r="B129" s="354" t="s">
        <v>1355</v>
      </c>
      <c r="C129" s="37">
        <v>1.1896</v>
      </c>
      <c r="D129" s="793">
        <v>1.9871000000000001</v>
      </c>
      <c r="E129" s="357">
        <f t="shared" si="69"/>
        <v>0.14592130336839398</v>
      </c>
      <c r="F129" s="682">
        <v>1.3632</v>
      </c>
      <c r="G129" s="682">
        <v>2.2770000000000001</v>
      </c>
      <c r="H129" s="357">
        <f t="shared" si="70"/>
        <v>7.4699999999999989E-2</v>
      </c>
      <c r="I129" s="315">
        <v>1.46503104</v>
      </c>
      <c r="J129" s="315">
        <v>2.4470919000000002</v>
      </c>
      <c r="K129" s="357">
        <f t="shared" si="71"/>
        <v>0.15100000000000002</v>
      </c>
      <c r="L129" s="310">
        <f>I129*(1+'MSCOA - Tariff Structure'!$Q$2)</f>
        <v>1.68625072704</v>
      </c>
      <c r="M129" s="310">
        <f>J129*(1+'MSCOA - Tariff Structure'!$Q$2)</f>
        <v>2.8166027769000004</v>
      </c>
      <c r="N129" s="821">
        <f t="shared" si="44"/>
        <v>0.12199999999999989</v>
      </c>
      <c r="O129" s="364">
        <f>L129*(1+'MSCOA - Tariff Structure'!$R$2)</f>
        <v>1.8919733157388798</v>
      </c>
      <c r="P129" s="364">
        <f>M129*(1+'MSCOA - Tariff Structure'!$R$2)</f>
        <v>3.1602283156818003</v>
      </c>
      <c r="Q129" s="821">
        <f t="shared" si="72"/>
        <v>0.12400000000000028</v>
      </c>
      <c r="R129" s="245">
        <f>O129*(1+'MSCOA - Tariff Structure'!$S$2)</f>
        <v>2.1265780068905014</v>
      </c>
      <c r="S129" s="245">
        <f>P129*(1+'MSCOA - Tariff Structure'!$S$2)</f>
        <v>3.5520966268263439</v>
      </c>
      <c r="T129" s="821">
        <f>(U129/R129-1)*9/12+(V129/S129-1)*3/12</f>
        <v>9.8999999999999977E-2</v>
      </c>
      <c r="U129" s="245">
        <f>R129*(1+'MSCOA - Tariff Structure'!$T$2)</f>
        <v>2.3371092295726608</v>
      </c>
      <c r="V129" s="245">
        <f>S129*(1+'MSCOA - Tariff Structure'!$T$2)</f>
        <v>3.9037541928821518</v>
      </c>
      <c r="W129" s="821">
        <f>(X129/U129-1)*9/12+(Y129/V129-1)*3/12</f>
        <v>7.1900000000000075E-2</v>
      </c>
      <c r="X129" s="364">
        <f>U129*(1+'MSCOA - Tariff Structure'!$U$2)</f>
        <v>2.5051473831789353</v>
      </c>
      <c r="Y129" s="364">
        <f>V129*(1+'MSCOA - Tariff Structure'!$U$2)</f>
        <v>4.1844341193503789</v>
      </c>
    </row>
    <row r="130" spans="1:25" x14ac:dyDescent="0.35">
      <c r="A130" s="356"/>
      <c r="B130" s="354" t="s">
        <v>1369</v>
      </c>
      <c r="C130" s="37">
        <v>1.0457000000000001</v>
      </c>
      <c r="D130" s="793">
        <v>1.8956</v>
      </c>
      <c r="E130" s="357">
        <f t="shared" si="69"/>
        <v>0.14592743152995663</v>
      </c>
      <c r="F130" s="682">
        <v>1.1982999999999999</v>
      </c>
      <c r="G130" s="682">
        <v>2.1722000000000001</v>
      </c>
      <c r="H130" s="357">
        <f t="shared" si="70"/>
        <v>7.4699999999999989E-2</v>
      </c>
      <c r="I130" s="315">
        <v>1.2878130099999998</v>
      </c>
      <c r="J130" s="315">
        <v>2.3344633400000001</v>
      </c>
      <c r="K130" s="357">
        <f t="shared" si="71"/>
        <v>0.15100000000000002</v>
      </c>
      <c r="L130" s="310">
        <f>I130*(1+'MSCOA - Tariff Structure'!$Q$2)</f>
        <v>1.4822727745099997</v>
      </c>
      <c r="M130" s="310">
        <f>J130*(1+'MSCOA - Tariff Structure'!$Q$2)</f>
        <v>2.68696730434</v>
      </c>
      <c r="N130" s="821">
        <f t="shared" si="44"/>
        <v>0.12199999999999989</v>
      </c>
      <c r="O130" s="364">
        <f>L130*(1+'MSCOA - Tariff Structure'!$R$2)</f>
        <v>1.6631100530002194</v>
      </c>
      <c r="P130" s="364">
        <f>M130*(1+'MSCOA - Tariff Structure'!$R$2)</f>
        <v>3.0147773154694795</v>
      </c>
      <c r="Q130" s="821">
        <f t="shared" si="72"/>
        <v>0.12400000000000011</v>
      </c>
      <c r="R130" s="245">
        <f>O130*(1+'MSCOA - Tariff Structure'!$S$2)</f>
        <v>1.8693356995722468</v>
      </c>
      <c r="S130" s="245">
        <f>P130*(1+'MSCOA - Tariff Structure'!$S$2)</f>
        <v>3.3886097025876953</v>
      </c>
      <c r="T130" s="821">
        <f>(U130/R130-1)*9/12+(V130/S130-1)*3/12</f>
        <v>9.8999999999999977E-2</v>
      </c>
      <c r="U130" s="245">
        <f>R130*(1+'MSCOA - Tariff Structure'!$T$2)</f>
        <v>2.0543999338298993</v>
      </c>
      <c r="V130" s="245">
        <f>S130*(1+'MSCOA - Tariff Structure'!$T$2)</f>
        <v>3.7240820631438769</v>
      </c>
      <c r="W130" s="821">
        <f>(X130/U130-1)*9/12+(Y130/V130-1)*3/12</f>
        <v>7.1900000000000075E-2</v>
      </c>
      <c r="X130" s="364">
        <f>U130*(1+'MSCOA - Tariff Structure'!$U$2)</f>
        <v>2.2021112890722692</v>
      </c>
      <c r="Y130" s="364">
        <f>V130*(1+'MSCOA - Tariff Structure'!$U$2)</f>
        <v>3.991843563483922</v>
      </c>
    </row>
    <row r="131" spans="1:25" x14ac:dyDescent="0.35">
      <c r="A131" s="352"/>
      <c r="B131" s="352" t="s">
        <v>1344</v>
      </c>
      <c r="C131" s="679"/>
      <c r="D131" s="789"/>
      <c r="E131" s="317">
        <f>AVERAGE(E128:E130)</f>
        <v>0.14592127038279509</v>
      </c>
      <c r="F131" s="679"/>
      <c r="G131" s="679"/>
      <c r="H131" s="543">
        <f>AVERAGE(H128:H130)</f>
        <v>7.4699999999999989E-2</v>
      </c>
      <c r="I131" s="686"/>
      <c r="J131" s="686"/>
      <c r="K131" s="543">
        <f>AVERAGE(K128:K130)</f>
        <v>0.15100000000000002</v>
      </c>
      <c r="L131" s="686"/>
      <c r="M131" s="686"/>
      <c r="N131" s="543">
        <f>AVERAGE(N128:N130)</f>
        <v>0.12199999999999989</v>
      </c>
      <c r="O131" s="822"/>
      <c r="P131" s="822"/>
      <c r="Q131" s="543">
        <f>AVERAGE(Q128:Q130)</f>
        <v>0.12400000000000017</v>
      </c>
      <c r="R131" s="822"/>
      <c r="S131" s="822"/>
      <c r="T131" s="543">
        <f>AVERAGE(T128:T130)</f>
        <v>9.8999999999999977E-2</v>
      </c>
      <c r="U131" s="822"/>
      <c r="V131" s="822"/>
      <c r="W131" s="543">
        <f>AVERAGE(W128:W130)</f>
        <v>7.1900000000000075E-2</v>
      </c>
      <c r="X131" s="822"/>
      <c r="Y131" s="822"/>
    </row>
    <row r="132" spans="1:25" x14ac:dyDescent="0.35">
      <c r="A132" s="356"/>
      <c r="B132" s="356"/>
      <c r="C132" s="681"/>
      <c r="D132" s="792"/>
      <c r="E132" s="356"/>
      <c r="F132" s="681"/>
      <c r="G132" s="681"/>
      <c r="H132" s="357"/>
      <c r="I132" s="37"/>
      <c r="J132" s="37"/>
      <c r="K132" s="357"/>
      <c r="L132" s="37"/>
      <c r="M132" s="37"/>
      <c r="N132" s="248"/>
      <c r="O132" s="245"/>
      <c r="P132" s="245"/>
      <c r="Q132" s="248"/>
      <c r="R132" s="245"/>
      <c r="S132" s="245"/>
      <c r="T132" s="248"/>
      <c r="U132" s="245"/>
      <c r="V132" s="245"/>
      <c r="W132" s="248"/>
      <c r="X132" s="245"/>
      <c r="Y132" s="245"/>
    </row>
    <row r="133" spans="1:25" ht="15" customHeight="1" x14ac:dyDescent="0.35">
      <c r="A133" s="352" t="s">
        <v>1375</v>
      </c>
      <c r="B133" s="352"/>
      <c r="C133" s="1161" t="str">
        <f>+$C$4</f>
        <v>2020/2021</v>
      </c>
      <c r="D133" s="1162"/>
      <c r="E133" s="1154" t="str">
        <f>+$E$4</f>
        <v>% Increase (for 21/22)</v>
      </c>
      <c r="F133" s="1158" t="str">
        <f>+F126</f>
        <v>2021/2022</v>
      </c>
      <c r="G133" s="1159"/>
      <c r="H133" s="1154" t="str">
        <f>H126</f>
        <v>% Increase (for 22/23)</v>
      </c>
      <c r="I133" s="1158" t="str">
        <f>I126</f>
        <v>2022/2023</v>
      </c>
      <c r="J133" s="1159"/>
      <c r="K133" s="1154" t="str">
        <f>K126</f>
        <v>% Increase (for 2023/24)</v>
      </c>
      <c r="L133" s="1158" t="str">
        <f>L126</f>
        <v>2023/2024</v>
      </c>
      <c r="M133" s="1159"/>
      <c r="N133" s="1154" t="str">
        <f>$N$4</f>
        <v>% Increase (for 2024/25)</v>
      </c>
      <c r="O133" s="1158" t="str">
        <f>O126</f>
        <v>2024/2025</v>
      </c>
      <c r="P133" s="1159"/>
      <c r="Q133" s="1154" t="str">
        <f>$Q$4</f>
        <v>% Increase (for 2025/26)</v>
      </c>
      <c r="R133" s="1158" t="str">
        <f>R126</f>
        <v>2025/2026</v>
      </c>
      <c r="S133" s="1159"/>
      <c r="T133" s="1152" t="str">
        <f>$T$4</f>
        <v>% Increase (for 2026/27)</v>
      </c>
      <c r="U133" s="1153" t="str">
        <f>U126</f>
        <v>2026/2027</v>
      </c>
      <c r="V133" s="1153"/>
      <c r="W133" s="1152" t="str">
        <f>$W$4</f>
        <v>% Increase (for 2027/28)</v>
      </c>
      <c r="X133" s="1153" t="str">
        <f>X126</f>
        <v>2027/2028</v>
      </c>
      <c r="Y133" s="1153"/>
    </row>
    <row r="134" spans="1:25" x14ac:dyDescent="0.35">
      <c r="A134" s="352"/>
      <c r="B134" s="352"/>
      <c r="C134" s="679" t="s">
        <v>249</v>
      </c>
      <c r="D134" s="789" t="s">
        <v>250</v>
      </c>
      <c r="E134" s="1154"/>
      <c r="F134" s="679" t="s">
        <v>249</v>
      </c>
      <c r="G134" s="679" t="s">
        <v>250</v>
      </c>
      <c r="H134" s="1154"/>
      <c r="I134" s="686" t="s">
        <v>249</v>
      </c>
      <c r="J134" s="686" t="s">
        <v>250</v>
      </c>
      <c r="K134" s="1154"/>
      <c r="L134" s="686" t="s">
        <v>249</v>
      </c>
      <c r="M134" s="686" t="s">
        <v>250</v>
      </c>
      <c r="N134" s="1154"/>
      <c r="O134" s="686" t="s">
        <v>249</v>
      </c>
      <c r="P134" s="686" t="s">
        <v>250</v>
      </c>
      <c r="Q134" s="1154"/>
      <c r="R134" s="686" t="s">
        <v>249</v>
      </c>
      <c r="S134" s="686" t="s">
        <v>250</v>
      </c>
      <c r="T134" s="1152"/>
      <c r="U134" s="843" t="s">
        <v>249</v>
      </c>
      <c r="V134" s="843" t="s">
        <v>250</v>
      </c>
      <c r="W134" s="1152"/>
      <c r="X134" s="843" t="s">
        <v>249</v>
      </c>
      <c r="Y134" s="843" t="s">
        <v>250</v>
      </c>
    </row>
    <row r="135" spans="1:25" x14ac:dyDescent="0.35">
      <c r="A135" s="356"/>
      <c r="B135" s="354" t="s">
        <v>1376</v>
      </c>
      <c r="C135" s="37">
        <v>1.7518</v>
      </c>
      <c r="D135" s="793">
        <v>1.7518</v>
      </c>
      <c r="E135" s="357">
        <f t="shared" ref="E135" si="73">(F135/C135-1)*9/12+(G135/D135-1)*3/12</f>
        <v>0.14588707444685456</v>
      </c>
      <c r="F135" s="682">
        <v>2.007364977016</v>
      </c>
      <c r="G135" s="682">
        <v>2.007364977016</v>
      </c>
      <c r="H135" s="357">
        <f t="shared" ref="H135" si="74">(I135/F135-1)*9/12+(J135/G135-1)*3/12</f>
        <v>7.4718750551761026E-2</v>
      </c>
      <c r="I135" s="315">
        <v>2.1573527800000001</v>
      </c>
      <c r="J135" s="315">
        <v>2.1573527800000001</v>
      </c>
      <c r="K135" s="357">
        <f t="shared" ref="K135" si="75">(L135/I135-1)*9/12+(M135/J135-1)*3/12</f>
        <v>0.15100000000000002</v>
      </c>
      <c r="L135" s="310">
        <f>I135*(1+'MSCOA - Tariff Structure'!$Q$2)</f>
        <v>2.48311304978</v>
      </c>
      <c r="M135" s="310">
        <f>J135*(1+'MSCOA - Tariff Structure'!$Q$2)</f>
        <v>2.48311304978</v>
      </c>
      <c r="N135" s="821">
        <f t="shared" si="44"/>
        <v>0.12199999999999989</v>
      </c>
      <c r="O135" s="364">
        <f>L135*(1+'MSCOA - Tariff Structure'!$R$2)</f>
        <v>2.7860528418531598</v>
      </c>
      <c r="P135" s="364">
        <f>M135*(1+'MSCOA - Tariff Structure'!$R$2)</f>
        <v>2.7860528418531598</v>
      </c>
      <c r="Q135" s="821">
        <f t="shared" ref="Q135" si="76">(R135/O135-1)*9/12+(S135/P135-1)*3/12</f>
        <v>0.12400000000000011</v>
      </c>
      <c r="R135" s="245">
        <f>O135*(1+'MSCOA - Tariff Structure'!$S$2)</f>
        <v>3.1315233942429521</v>
      </c>
      <c r="S135" s="245">
        <f>P135*(1+'MSCOA - Tariff Structure'!$S$2)</f>
        <v>3.1315233942429521</v>
      </c>
      <c r="T135" s="821">
        <f>(U135/R135-1)*9/12+(V135/S135-1)*3/12</f>
        <v>9.8999999999999977E-2</v>
      </c>
      <c r="U135" s="245">
        <f>R135*(1+'MSCOA - Tariff Structure'!$T$2)</f>
        <v>3.4415442102730043</v>
      </c>
      <c r="V135" s="245">
        <f>S135*(1+'MSCOA - Tariff Structure'!$T$2)</f>
        <v>3.4415442102730043</v>
      </c>
      <c r="W135" s="821">
        <f>(X135/U135-1)*9/12+(Y135/V135-1)*3/12</f>
        <v>7.1900000000000075E-2</v>
      </c>
      <c r="X135" s="364">
        <f>U135*(1+'MSCOA - Tariff Structure'!$U$2)</f>
        <v>3.6889912389916337</v>
      </c>
      <c r="Y135" s="364">
        <f>V135*(1+'MSCOA - Tariff Structure'!$U$2)</f>
        <v>3.6889912389916337</v>
      </c>
    </row>
    <row r="136" spans="1:25" x14ac:dyDescent="0.35">
      <c r="A136" s="352"/>
      <c r="B136" s="352" t="s">
        <v>1344</v>
      </c>
      <c r="C136" s="679"/>
      <c r="D136" s="789"/>
      <c r="E136" s="317">
        <f>AVERAGE(E135)</f>
        <v>0.14588707444685456</v>
      </c>
      <c r="F136" s="679"/>
      <c r="G136" s="679"/>
      <c r="H136" s="543">
        <f>AVERAGE(H135)</f>
        <v>7.4718750551761026E-2</v>
      </c>
      <c r="I136" s="686"/>
      <c r="J136" s="686"/>
      <c r="K136" s="543">
        <f>AVERAGE(K135)</f>
        <v>0.15100000000000002</v>
      </c>
      <c r="L136" s="686"/>
      <c r="M136" s="686"/>
      <c r="N136" s="543">
        <f>AVERAGE(N135)</f>
        <v>0.12199999999999989</v>
      </c>
      <c r="O136" s="807"/>
      <c r="P136" s="807"/>
      <c r="Q136" s="543">
        <f>AVERAGE(Q135)</f>
        <v>0.12400000000000011</v>
      </c>
      <c r="R136" s="807"/>
      <c r="S136" s="807"/>
      <c r="T136" s="543">
        <f>AVERAGE(T135)</f>
        <v>9.8999999999999977E-2</v>
      </c>
      <c r="U136" s="807"/>
      <c r="V136" s="807"/>
      <c r="W136" s="543">
        <f>AVERAGE(W135)</f>
        <v>7.1900000000000075E-2</v>
      </c>
      <c r="X136" s="807"/>
      <c r="Y136" s="807"/>
    </row>
    <row r="137" spans="1:25" x14ac:dyDescent="0.35">
      <c r="A137" s="356"/>
      <c r="B137" s="356"/>
      <c r="C137" s="681"/>
      <c r="D137" s="792"/>
      <c r="E137" s="356"/>
      <c r="F137" s="681"/>
      <c r="G137" s="681"/>
      <c r="H137" s="357"/>
      <c r="I137" s="37"/>
      <c r="J137" s="37"/>
      <c r="K137" s="357"/>
      <c r="L137" s="37"/>
      <c r="M137" s="37"/>
      <c r="N137" s="248"/>
      <c r="Q137" s="248"/>
    </row>
    <row r="138" spans="1:25" ht="15" customHeight="1" x14ac:dyDescent="0.35">
      <c r="A138" s="352" t="s">
        <v>1377</v>
      </c>
      <c r="B138" s="352"/>
      <c r="C138" s="1161" t="str">
        <f>+$C$4</f>
        <v>2020/2021</v>
      </c>
      <c r="D138" s="1162"/>
      <c r="E138" s="1154" t="str">
        <f>+$E$4</f>
        <v>% Increase (for 21/22)</v>
      </c>
      <c r="F138" s="1158" t="str">
        <f>+F133</f>
        <v>2021/2022</v>
      </c>
      <c r="G138" s="1159"/>
      <c r="H138" s="1154" t="str">
        <f>H133</f>
        <v>% Increase (for 22/23)</v>
      </c>
      <c r="I138" s="1158" t="str">
        <f>I133</f>
        <v>2022/2023</v>
      </c>
      <c r="J138" s="1159"/>
      <c r="K138" s="1165"/>
      <c r="L138" s="1163"/>
      <c r="M138" s="1164"/>
      <c r="N138" s="248"/>
      <c r="Q138" s="248"/>
    </row>
    <row r="139" spans="1:25" x14ac:dyDescent="0.35">
      <c r="A139" s="352"/>
      <c r="B139" s="352"/>
      <c r="C139" s="679" t="s">
        <v>249</v>
      </c>
      <c r="D139" s="789" t="s">
        <v>250</v>
      </c>
      <c r="E139" s="1154"/>
      <c r="F139" s="679" t="s">
        <v>249</v>
      </c>
      <c r="G139" s="679" t="s">
        <v>250</v>
      </c>
      <c r="H139" s="1154"/>
      <c r="I139" s="686" t="s">
        <v>249</v>
      </c>
      <c r="J139" s="686" t="s">
        <v>250</v>
      </c>
      <c r="K139" s="1165"/>
      <c r="L139" s="688"/>
      <c r="M139" s="688"/>
      <c r="N139" s="248"/>
      <c r="Q139" s="248"/>
    </row>
    <row r="140" spans="1:25" x14ac:dyDescent="0.35">
      <c r="A140" s="803"/>
      <c r="B140" s="354" t="s">
        <v>1376</v>
      </c>
      <c r="C140" s="310">
        <v>1.0265</v>
      </c>
      <c r="D140" s="797">
        <v>1.3345</v>
      </c>
      <c r="E140" s="357">
        <f t="shared" ref="E140" si="77">(F140/C140-1)*9/12+(G140/D140-1)*3/12</f>
        <v>1.8476090605329398E-4</v>
      </c>
      <c r="F140" s="682">
        <v>1.02670336</v>
      </c>
      <c r="G140" s="682">
        <v>1.3346931200000001</v>
      </c>
      <c r="H140" s="619" t="s">
        <v>1920</v>
      </c>
      <c r="I140" s="619" t="s">
        <v>1920</v>
      </c>
      <c r="J140" s="310"/>
      <c r="K140" s="619" t="s">
        <v>1920</v>
      </c>
      <c r="L140" s="619" t="s">
        <v>1920</v>
      </c>
      <c r="M140" s="310"/>
      <c r="N140" s="248"/>
      <c r="Q140" s="248"/>
    </row>
    <row r="141" spans="1:25" x14ac:dyDescent="0.35">
      <c r="A141" s="352"/>
      <c r="B141" s="352" t="s">
        <v>1344</v>
      </c>
      <c r="C141" s="679"/>
      <c r="D141" s="789"/>
      <c r="E141" s="317">
        <f>AVERAGE(E140)</f>
        <v>1.8476090605329398E-4</v>
      </c>
      <c r="F141" s="679"/>
      <c r="G141" s="679"/>
      <c r="H141" s="543"/>
      <c r="I141" s="686"/>
      <c r="J141" s="686"/>
      <c r="K141" s="823"/>
      <c r="L141" s="688"/>
      <c r="M141" s="688"/>
      <c r="N141" s="248"/>
      <c r="Q141" s="248"/>
    </row>
    <row r="142" spans="1:25" x14ac:dyDescent="0.35">
      <c r="A142" s="356"/>
      <c r="B142" s="356"/>
      <c r="C142" s="681"/>
      <c r="D142" s="792"/>
      <c r="E142" s="356"/>
      <c r="F142" s="681"/>
      <c r="G142" s="681"/>
      <c r="H142" s="357"/>
      <c r="I142" s="37"/>
      <c r="J142" s="37"/>
      <c r="K142" s="357"/>
      <c r="L142" s="310"/>
      <c r="M142" s="310"/>
      <c r="N142" s="248"/>
      <c r="Q142" s="248"/>
    </row>
    <row r="143" spans="1:25" ht="15" customHeight="1" x14ac:dyDescent="0.35">
      <c r="A143" s="352" t="s">
        <v>1378</v>
      </c>
      <c r="B143" s="352"/>
      <c r="C143" s="1161" t="str">
        <f>+$C$4</f>
        <v>2020/2021</v>
      </c>
      <c r="D143" s="1162"/>
      <c r="E143" s="1154" t="str">
        <f>+$E$4</f>
        <v>% Increase (for 21/22)</v>
      </c>
      <c r="F143" s="1158" t="str">
        <f>+F138</f>
        <v>2021/2022</v>
      </c>
      <c r="G143" s="1159"/>
      <c r="H143" s="1154" t="str">
        <f>H138</f>
        <v>% Increase (for 22/23)</v>
      </c>
      <c r="I143" s="1158" t="str">
        <f>I138</f>
        <v>2022/2023</v>
      </c>
      <c r="J143" s="1159"/>
      <c r="K143" s="1165"/>
      <c r="L143" s="1163"/>
      <c r="M143" s="1164"/>
      <c r="N143" s="248"/>
      <c r="Q143" s="248"/>
    </row>
    <row r="144" spans="1:25" x14ac:dyDescent="0.35">
      <c r="A144" s="352"/>
      <c r="B144" s="352"/>
      <c r="C144" s="679" t="s">
        <v>249</v>
      </c>
      <c r="D144" s="789" t="s">
        <v>250</v>
      </c>
      <c r="E144" s="1154"/>
      <c r="F144" s="679" t="s">
        <v>249</v>
      </c>
      <c r="G144" s="679" t="s">
        <v>250</v>
      </c>
      <c r="H144" s="1154"/>
      <c r="I144" s="686" t="s">
        <v>249</v>
      </c>
      <c r="J144" s="686" t="s">
        <v>250</v>
      </c>
      <c r="K144" s="1165"/>
      <c r="L144" s="688"/>
      <c r="M144" s="688"/>
      <c r="N144" s="248"/>
      <c r="Q144" s="248"/>
    </row>
    <row r="145" spans="1:18" x14ac:dyDescent="0.35">
      <c r="A145" s="356"/>
      <c r="B145" s="354" t="s">
        <v>1379</v>
      </c>
      <c r="C145" s="37">
        <v>864.5</v>
      </c>
      <c r="D145" s="793">
        <v>864.5</v>
      </c>
      <c r="E145" s="357">
        <f t="shared" ref="E145:E146" si="78">(F145/C145-1)*9/12+(G145/D145-1)*3/12</f>
        <v>0.14590442188825925</v>
      </c>
      <c r="F145" s="682">
        <v>990.63437272240003</v>
      </c>
      <c r="G145" s="682">
        <v>990.63437272240003</v>
      </c>
      <c r="H145" s="619" t="s">
        <v>1897</v>
      </c>
      <c r="I145" s="619" t="s">
        <v>1897</v>
      </c>
      <c r="J145" s="310"/>
      <c r="K145" s="619" t="s">
        <v>1897</v>
      </c>
      <c r="L145" s="619" t="s">
        <v>1897</v>
      </c>
      <c r="M145" s="310"/>
      <c r="N145" s="248"/>
      <c r="Q145" s="248"/>
    </row>
    <row r="146" spans="1:18" x14ac:dyDescent="0.35">
      <c r="A146" s="356"/>
      <c r="B146" s="354" t="s">
        <v>279</v>
      </c>
      <c r="C146" s="37">
        <v>1.9376</v>
      </c>
      <c r="D146" s="793">
        <v>2.0916000000000001</v>
      </c>
      <c r="E146" s="357">
        <f t="shared" si="78"/>
        <v>0.14592592680659544</v>
      </c>
      <c r="F146" s="682">
        <v>2.2203705985160003</v>
      </c>
      <c r="G146" s="682">
        <v>2.3967392531180001</v>
      </c>
      <c r="H146" s="357"/>
      <c r="I146" s="310"/>
      <c r="J146" s="310"/>
      <c r="K146" s="357"/>
      <c r="L146" s="310"/>
      <c r="M146" s="310"/>
      <c r="N146" s="248"/>
      <c r="Q146" s="248"/>
    </row>
    <row r="147" spans="1:18" x14ac:dyDescent="0.35">
      <c r="A147" s="352"/>
      <c r="B147" s="352" t="s">
        <v>1344</v>
      </c>
      <c r="C147" s="679"/>
      <c r="D147" s="789"/>
      <c r="E147" s="317">
        <f>AVERAGE(E145:E146)</f>
        <v>0.14591517434742735</v>
      </c>
      <c r="F147" s="679"/>
      <c r="G147" s="679"/>
      <c r="H147" s="543"/>
      <c r="I147" s="686"/>
      <c r="J147" s="686"/>
      <c r="K147" s="823"/>
      <c r="L147" s="688"/>
      <c r="M147" s="688"/>
      <c r="N147" s="248"/>
      <c r="Q147" s="248"/>
    </row>
    <row r="148" spans="1:18" hidden="1" x14ac:dyDescent="0.35">
      <c r="A148" s="387"/>
      <c r="C148" s="685"/>
      <c r="D148" s="798"/>
      <c r="F148" s="685"/>
      <c r="G148" s="685"/>
      <c r="N148" s="248" t="e">
        <f t="shared" ref="N148:N156" si="79">(O148/L148-1)*9/12+(P148/M148-1)*3/12</f>
        <v>#DIV/0!</v>
      </c>
      <c r="Q148" s="248" t="e">
        <f t="shared" ref="Q148:Q156" si="80">(R148/O148-1)*9/12+(S148/P148-1)*3/12</f>
        <v>#DIV/0!</v>
      </c>
    </row>
    <row r="149" spans="1:18" hidden="1" x14ac:dyDescent="0.35">
      <c r="C149" s="685"/>
      <c r="D149" s="798"/>
      <c r="E149" s="357">
        <f>E9+E16+E23+E31+E45+E51+E60+E78+E88+E98+E108+E117+E124+E131+E136+E141+E147</f>
        <v>2.0898975239471254</v>
      </c>
      <c r="F149" s="685"/>
      <c r="G149" s="685"/>
      <c r="H149" s="357">
        <f>H9+H16+H23+H31+H45+H51+H60+H78+H88+H98+H108+H117+H124+H131+H136+H141+H147</f>
        <v>1.120499033188374</v>
      </c>
      <c r="K149" s="357">
        <f>K9+K16+K23+K31+K45+K51+K60+K78+K88+K98+K108+K117+K124+K131+K136+K141+K147</f>
        <v>2.2650000000000006</v>
      </c>
      <c r="N149" s="248" t="e">
        <f t="shared" si="79"/>
        <v>#DIV/0!</v>
      </c>
      <c r="Q149" s="248" t="e">
        <f t="shared" si="80"/>
        <v>#DIV/0!</v>
      </c>
    </row>
    <row r="150" spans="1:18" hidden="1" x14ac:dyDescent="0.35">
      <c r="N150" s="248" t="e">
        <f t="shared" si="79"/>
        <v>#DIV/0!</v>
      </c>
      <c r="Q150" s="248" t="e">
        <f t="shared" si="80"/>
        <v>#DIV/0!</v>
      </c>
    </row>
    <row r="151" spans="1:18" hidden="1" x14ac:dyDescent="0.35">
      <c r="E151" s="426">
        <f>E149/17</f>
        <v>0.12293514846747797</v>
      </c>
      <c r="H151" s="426">
        <f>H149/17</f>
        <v>6.5911707834610228E-2</v>
      </c>
      <c r="K151" s="426">
        <f>K149/17</f>
        <v>0.13323529411764709</v>
      </c>
      <c r="N151" s="248" t="e">
        <f t="shared" si="79"/>
        <v>#DIV/0!</v>
      </c>
      <c r="Q151" s="248" t="e">
        <f t="shared" si="80"/>
        <v>#DIV/0!</v>
      </c>
    </row>
    <row r="152" spans="1:18" hidden="1" x14ac:dyDescent="0.35">
      <c r="N152" s="248" t="e">
        <f t="shared" si="79"/>
        <v>#DIV/0!</v>
      </c>
      <c r="Q152" s="248" t="e">
        <f t="shared" si="80"/>
        <v>#DIV/0!</v>
      </c>
    </row>
    <row r="153" spans="1:18" hidden="1" x14ac:dyDescent="0.35">
      <c r="D153" s="795" t="s">
        <v>1471</v>
      </c>
      <c r="E153" s="357">
        <v>7.6399999999999996E-2</v>
      </c>
      <c r="N153" s="248" t="e">
        <f t="shared" si="79"/>
        <v>#DIV/0!</v>
      </c>
      <c r="Q153" s="248" t="e">
        <f t="shared" si="80"/>
        <v>#DIV/0!</v>
      </c>
    </row>
    <row r="154" spans="1:18" hidden="1" x14ac:dyDescent="0.35">
      <c r="N154" s="248" t="e">
        <f t="shared" si="79"/>
        <v>#DIV/0!</v>
      </c>
      <c r="Q154" s="248" t="e">
        <f t="shared" si="80"/>
        <v>#DIV/0!</v>
      </c>
    </row>
    <row r="155" spans="1:18" hidden="1" x14ac:dyDescent="0.35">
      <c r="E155" s="357"/>
      <c r="N155" s="248" t="e">
        <f t="shared" si="79"/>
        <v>#DIV/0!</v>
      </c>
      <c r="Q155" s="248" t="e">
        <f t="shared" si="80"/>
        <v>#DIV/0!</v>
      </c>
    </row>
    <row r="156" spans="1:18" hidden="1" x14ac:dyDescent="0.35">
      <c r="N156" s="248" t="e">
        <f t="shared" si="79"/>
        <v>#DIV/0!</v>
      </c>
      <c r="Q156" s="248" t="e">
        <f t="shared" si="80"/>
        <v>#DIV/0!</v>
      </c>
    </row>
    <row r="157" spans="1:18" x14ac:dyDescent="0.35">
      <c r="N157" s="248"/>
      <c r="Q157" s="248"/>
    </row>
    <row r="158" spans="1:18" ht="15" hidden="1" customHeight="1" x14ac:dyDescent="0.35">
      <c r="A158" s="1166" t="s">
        <v>1919</v>
      </c>
      <c r="B158" s="811"/>
      <c r="C158" s="689"/>
      <c r="D158" s="812"/>
      <c r="E158" s="811"/>
      <c r="F158" s="1158"/>
      <c r="G158" s="1158"/>
      <c r="H158" s="1158"/>
      <c r="I158" s="1158"/>
      <c r="J158" s="1158"/>
      <c r="K158" s="1158"/>
      <c r="L158" s="1158"/>
      <c r="M158" s="1158"/>
      <c r="N158" s="1154" t="s">
        <v>1895</v>
      </c>
      <c r="O158" s="1156" t="s">
        <v>1902</v>
      </c>
      <c r="P158" s="1156"/>
      <c r="Q158" s="1156" t="s">
        <v>1903</v>
      </c>
      <c r="R158" s="1156"/>
    </row>
    <row r="159" spans="1:18" hidden="1" x14ac:dyDescent="0.35">
      <c r="A159" s="1166"/>
      <c r="B159" s="811"/>
      <c r="C159" s="689"/>
      <c r="D159" s="812"/>
      <c r="E159" s="811"/>
      <c r="F159" s="679"/>
      <c r="G159" s="679"/>
      <c r="H159" s="679"/>
      <c r="I159" s="679"/>
      <c r="J159" s="679"/>
      <c r="K159" s="679"/>
      <c r="L159" s="679"/>
      <c r="M159" s="679"/>
      <c r="N159" s="1154"/>
      <c r="O159" s="813" t="s">
        <v>249</v>
      </c>
      <c r="P159" s="813" t="s">
        <v>250</v>
      </c>
      <c r="Q159" s="813" t="s">
        <v>249</v>
      </c>
      <c r="R159" s="813" t="s">
        <v>250</v>
      </c>
    </row>
    <row r="160" spans="1:18" hidden="1" x14ac:dyDescent="0.35">
      <c r="B160" s="819" t="s">
        <v>255</v>
      </c>
      <c r="C160" s="310"/>
      <c r="D160" s="797"/>
      <c r="F160" s="805"/>
      <c r="N160" t="s">
        <v>1843</v>
      </c>
      <c r="O160" s="1157" t="s">
        <v>1921</v>
      </c>
      <c r="P160" s="1157"/>
      <c r="Q160" s="814">
        <v>110</v>
      </c>
      <c r="R160" s="814">
        <v>110</v>
      </c>
    </row>
    <row r="161" spans="1:18" hidden="1" x14ac:dyDescent="0.35">
      <c r="B161" s="820" t="s">
        <v>1898</v>
      </c>
      <c r="C161" s="310"/>
      <c r="D161" s="797"/>
      <c r="F161" s="806"/>
      <c r="N161" t="s">
        <v>1843</v>
      </c>
      <c r="O161" s="1157"/>
      <c r="P161" s="1157"/>
      <c r="Q161" s="815">
        <v>1.4346960204500001</v>
      </c>
      <c r="R161" s="815">
        <v>4.3981745643220007</v>
      </c>
    </row>
    <row r="162" spans="1:18" hidden="1" x14ac:dyDescent="0.35">
      <c r="B162" s="820" t="s">
        <v>1899</v>
      </c>
      <c r="C162" s="310"/>
      <c r="D162" s="797"/>
      <c r="F162" s="806"/>
      <c r="N162" t="s">
        <v>1843</v>
      </c>
      <c r="O162" s="1157"/>
      <c r="P162" s="1157"/>
      <c r="Q162" s="815">
        <v>0.98741568171399996</v>
      </c>
      <c r="R162" s="815">
        <v>1.3322353261140001</v>
      </c>
    </row>
    <row r="163" spans="1:18" hidden="1" x14ac:dyDescent="0.35">
      <c r="B163" s="820" t="s">
        <v>1900</v>
      </c>
      <c r="C163" s="310"/>
      <c r="D163" s="797"/>
      <c r="F163" s="806"/>
      <c r="N163" t="s">
        <v>1843</v>
      </c>
      <c r="O163" s="1157"/>
      <c r="P163" s="1157"/>
      <c r="Q163" s="815">
        <v>0.62621710420499987</v>
      </c>
      <c r="R163" s="815">
        <v>0.72338235400200002</v>
      </c>
    </row>
    <row r="164" spans="1:18" s="807" customFormat="1" hidden="1" x14ac:dyDescent="0.35">
      <c r="A164" s="816"/>
      <c r="B164" s="816" t="s">
        <v>1344</v>
      </c>
      <c r="C164" s="809"/>
      <c r="D164" s="817"/>
      <c r="E164" s="817"/>
      <c r="F164" s="818"/>
      <c r="G164" s="810"/>
      <c r="O164" s="808"/>
      <c r="P164" s="808"/>
      <c r="R164" s="808"/>
    </row>
  </sheetData>
  <mergeCells count="279">
    <mergeCell ref="T126:T127"/>
    <mergeCell ref="U126:V126"/>
    <mergeCell ref="T133:T134"/>
    <mergeCell ref="U133:V133"/>
    <mergeCell ref="T80:T81"/>
    <mergeCell ref="U80:V80"/>
    <mergeCell ref="T90:T91"/>
    <mergeCell ref="U90:V90"/>
    <mergeCell ref="T101:T102"/>
    <mergeCell ref="U101:V101"/>
    <mergeCell ref="T110:T111"/>
    <mergeCell ref="U110:V110"/>
    <mergeCell ref="T119:T120"/>
    <mergeCell ref="U119:V119"/>
    <mergeCell ref="T41:T42"/>
    <mergeCell ref="U41:V41"/>
    <mergeCell ref="T47:T48"/>
    <mergeCell ref="U47:V47"/>
    <mergeCell ref="T54:T55"/>
    <mergeCell ref="U54:V54"/>
    <mergeCell ref="T62:T63"/>
    <mergeCell ref="U62:V62"/>
    <mergeCell ref="T70:T71"/>
    <mergeCell ref="U70:V70"/>
    <mergeCell ref="T4:T5"/>
    <mergeCell ref="U4:V4"/>
    <mergeCell ref="T11:T12"/>
    <mergeCell ref="U11:V11"/>
    <mergeCell ref="T18:T19"/>
    <mergeCell ref="U18:V18"/>
    <mergeCell ref="T25:T26"/>
    <mergeCell ref="U25:V25"/>
    <mergeCell ref="T33:T34"/>
    <mergeCell ref="U33:V33"/>
    <mergeCell ref="O70:P70"/>
    <mergeCell ref="N126:N127"/>
    <mergeCell ref="O126:P126"/>
    <mergeCell ref="N133:N134"/>
    <mergeCell ref="O133:P133"/>
    <mergeCell ref="N80:N81"/>
    <mergeCell ref="O80:P80"/>
    <mergeCell ref="N90:N91"/>
    <mergeCell ref="O90:P90"/>
    <mergeCell ref="N101:N102"/>
    <mergeCell ref="O101:P101"/>
    <mergeCell ref="N110:N111"/>
    <mergeCell ref="O110:P110"/>
    <mergeCell ref="N119:N120"/>
    <mergeCell ref="O119:P119"/>
    <mergeCell ref="A158:A159"/>
    <mergeCell ref="F158:G158"/>
    <mergeCell ref="H158:I158"/>
    <mergeCell ref="J158:K158"/>
    <mergeCell ref="L158:M158"/>
    <mergeCell ref="N4:N5"/>
    <mergeCell ref="O4:P4"/>
    <mergeCell ref="N11:N12"/>
    <mergeCell ref="O11:P11"/>
    <mergeCell ref="N18:N19"/>
    <mergeCell ref="O18:P18"/>
    <mergeCell ref="N25:N26"/>
    <mergeCell ref="O25:P25"/>
    <mergeCell ref="N33:N34"/>
    <mergeCell ref="O33:P33"/>
    <mergeCell ref="N41:N42"/>
    <mergeCell ref="O41:P41"/>
    <mergeCell ref="N47:N48"/>
    <mergeCell ref="O47:P47"/>
    <mergeCell ref="N54:N55"/>
    <mergeCell ref="O54:P54"/>
    <mergeCell ref="N62:N63"/>
    <mergeCell ref="O62:P62"/>
    <mergeCell ref="N70:N71"/>
    <mergeCell ref="K33:K34"/>
    <mergeCell ref="L33:M33"/>
    <mergeCell ref="C62:D62"/>
    <mergeCell ref="E62:E63"/>
    <mergeCell ref="F62:G62"/>
    <mergeCell ref="H62:H63"/>
    <mergeCell ref="I62:J62"/>
    <mergeCell ref="K62:K63"/>
    <mergeCell ref="L62:M62"/>
    <mergeCell ref="E41:E42"/>
    <mergeCell ref="E47:E48"/>
    <mergeCell ref="E54:E55"/>
    <mergeCell ref="H41:H42"/>
    <mergeCell ref="H47:H48"/>
    <mergeCell ref="H54:H55"/>
    <mergeCell ref="F41:G41"/>
    <mergeCell ref="F47:G47"/>
    <mergeCell ref="F54:G54"/>
    <mergeCell ref="C33:D33"/>
    <mergeCell ref="E33:E34"/>
    <mergeCell ref="F33:G33"/>
    <mergeCell ref="H33:H34"/>
    <mergeCell ref="I33:J33"/>
    <mergeCell ref="L143:M143"/>
    <mergeCell ref="L126:M126"/>
    <mergeCell ref="I133:J133"/>
    <mergeCell ref="L133:M133"/>
    <mergeCell ref="I138:J138"/>
    <mergeCell ref="L138:M138"/>
    <mergeCell ref="I101:J101"/>
    <mergeCell ref="L101:M101"/>
    <mergeCell ref="I110:J110"/>
    <mergeCell ref="L110:M110"/>
    <mergeCell ref="I119:J119"/>
    <mergeCell ref="L119:M119"/>
    <mergeCell ref="K143:K144"/>
    <mergeCell ref="K126:K127"/>
    <mergeCell ref="K133:K134"/>
    <mergeCell ref="K138:K139"/>
    <mergeCell ref="K101:K102"/>
    <mergeCell ref="K110:K111"/>
    <mergeCell ref="K119:K120"/>
    <mergeCell ref="I126:J126"/>
    <mergeCell ref="I143:J143"/>
    <mergeCell ref="I80:J80"/>
    <mergeCell ref="L80:M80"/>
    <mergeCell ref="I90:J90"/>
    <mergeCell ref="L90:M90"/>
    <mergeCell ref="I41:J41"/>
    <mergeCell ref="L41:M41"/>
    <mergeCell ref="I47:J47"/>
    <mergeCell ref="L47:M47"/>
    <mergeCell ref="I54:J54"/>
    <mergeCell ref="L54:M54"/>
    <mergeCell ref="K41:K42"/>
    <mergeCell ref="K47:K48"/>
    <mergeCell ref="K54:K55"/>
    <mergeCell ref="K70:K71"/>
    <mergeCell ref="K80:K81"/>
    <mergeCell ref="K90:K91"/>
    <mergeCell ref="I70:J70"/>
    <mergeCell ref="C90:D90"/>
    <mergeCell ref="C101:D101"/>
    <mergeCell ref="C138:D138"/>
    <mergeCell ref="C143:D143"/>
    <mergeCell ref="C110:D110"/>
    <mergeCell ref="C119:D119"/>
    <mergeCell ref="C126:D126"/>
    <mergeCell ref="C133:D133"/>
    <mergeCell ref="C41:D41"/>
    <mergeCell ref="C47:D47"/>
    <mergeCell ref="C54:D54"/>
    <mergeCell ref="C70:D70"/>
    <mergeCell ref="C80:D80"/>
    <mergeCell ref="A4:B4"/>
    <mergeCell ref="C4:D4"/>
    <mergeCell ref="C11:D11"/>
    <mergeCell ref="C18:D18"/>
    <mergeCell ref="C25:D25"/>
    <mergeCell ref="F4:G4"/>
    <mergeCell ref="I4:J4"/>
    <mergeCell ref="F25:G25"/>
    <mergeCell ref="E4:E5"/>
    <mergeCell ref="E11:E12"/>
    <mergeCell ref="E18:E19"/>
    <mergeCell ref="E25:E26"/>
    <mergeCell ref="H80:H81"/>
    <mergeCell ref="H90:H91"/>
    <mergeCell ref="H143:H144"/>
    <mergeCell ref="F70:G70"/>
    <mergeCell ref="F119:G119"/>
    <mergeCell ref="F143:G143"/>
    <mergeCell ref="L4:M4"/>
    <mergeCell ref="F11:G11"/>
    <mergeCell ref="F18:G18"/>
    <mergeCell ref="K25:K26"/>
    <mergeCell ref="I11:J11"/>
    <mergeCell ref="L11:M11"/>
    <mergeCell ref="I18:J18"/>
    <mergeCell ref="L18:M18"/>
    <mergeCell ref="I25:J25"/>
    <mergeCell ref="L25:M25"/>
    <mergeCell ref="H4:H5"/>
    <mergeCell ref="K4:K5"/>
    <mergeCell ref="K11:K12"/>
    <mergeCell ref="K18:K19"/>
    <mergeCell ref="H11:H12"/>
    <mergeCell ref="H18:H19"/>
    <mergeCell ref="H25:H26"/>
    <mergeCell ref="L70:M70"/>
    <mergeCell ref="F138:G138"/>
    <mergeCell ref="F101:G101"/>
    <mergeCell ref="F110:G110"/>
    <mergeCell ref="F90:G90"/>
    <mergeCell ref="F126:G126"/>
    <mergeCell ref="F133:G133"/>
    <mergeCell ref="E70:E71"/>
    <mergeCell ref="E143:E144"/>
    <mergeCell ref="H126:H127"/>
    <mergeCell ref="H133:H134"/>
    <mergeCell ref="H138:H139"/>
    <mergeCell ref="H101:H102"/>
    <mergeCell ref="H110:H111"/>
    <mergeCell ref="H119:H120"/>
    <mergeCell ref="E80:E81"/>
    <mergeCell ref="E90:E91"/>
    <mergeCell ref="E101:E102"/>
    <mergeCell ref="E126:E127"/>
    <mergeCell ref="E133:E134"/>
    <mergeCell ref="E138:E139"/>
    <mergeCell ref="E110:E111"/>
    <mergeCell ref="E119:E120"/>
    <mergeCell ref="F80:G80"/>
    <mergeCell ref="H70:H71"/>
    <mergeCell ref="Q4:Q5"/>
    <mergeCell ref="R4:S4"/>
    <mergeCell ref="Q11:Q12"/>
    <mergeCell ref="R11:S11"/>
    <mergeCell ref="Q18:Q19"/>
    <mergeCell ref="R18:S18"/>
    <mergeCell ref="Q25:Q26"/>
    <mergeCell ref="R25:S25"/>
    <mergeCell ref="Q33:Q34"/>
    <mergeCell ref="R33:S33"/>
    <mergeCell ref="Q41:Q42"/>
    <mergeCell ref="R41:S41"/>
    <mergeCell ref="Q47:Q48"/>
    <mergeCell ref="R47:S47"/>
    <mergeCell ref="Q54:Q55"/>
    <mergeCell ref="R54:S54"/>
    <mergeCell ref="Q62:Q63"/>
    <mergeCell ref="R62:S62"/>
    <mergeCell ref="Q70:Q71"/>
    <mergeCell ref="R70:S70"/>
    <mergeCell ref="N158:N159"/>
    <mergeCell ref="Q158:R158"/>
    <mergeCell ref="O158:P158"/>
    <mergeCell ref="O160:P163"/>
    <mergeCell ref="Q126:Q127"/>
    <mergeCell ref="R126:S126"/>
    <mergeCell ref="Q133:Q134"/>
    <mergeCell ref="R133:S133"/>
    <mergeCell ref="Q80:Q81"/>
    <mergeCell ref="R80:S80"/>
    <mergeCell ref="Q90:Q91"/>
    <mergeCell ref="R90:S90"/>
    <mergeCell ref="Q101:Q102"/>
    <mergeCell ref="R101:S101"/>
    <mergeCell ref="Q110:Q111"/>
    <mergeCell ref="R110:S110"/>
    <mergeCell ref="Q119:Q120"/>
    <mergeCell ref="R119:S119"/>
    <mergeCell ref="W4:W5"/>
    <mergeCell ref="X4:Y4"/>
    <mergeCell ref="W11:W12"/>
    <mergeCell ref="X11:Y11"/>
    <mergeCell ref="W18:W19"/>
    <mergeCell ref="X18:Y18"/>
    <mergeCell ref="W25:W26"/>
    <mergeCell ref="X25:Y25"/>
    <mergeCell ref="W33:W34"/>
    <mergeCell ref="X33:Y33"/>
    <mergeCell ref="W41:W42"/>
    <mergeCell ref="X41:Y41"/>
    <mergeCell ref="W47:W48"/>
    <mergeCell ref="X47:Y47"/>
    <mergeCell ref="W54:W55"/>
    <mergeCell ref="X54:Y54"/>
    <mergeCell ref="W62:W63"/>
    <mergeCell ref="X62:Y62"/>
    <mergeCell ref="W70:W71"/>
    <mergeCell ref="X70:Y70"/>
    <mergeCell ref="W126:W127"/>
    <mergeCell ref="X126:Y126"/>
    <mergeCell ref="W133:W134"/>
    <mergeCell ref="X133:Y133"/>
    <mergeCell ref="W80:W81"/>
    <mergeCell ref="X80:Y80"/>
    <mergeCell ref="W90:W91"/>
    <mergeCell ref="X90:Y90"/>
    <mergeCell ref="W101:W102"/>
    <mergeCell ref="X101:Y101"/>
    <mergeCell ref="W110:W111"/>
    <mergeCell ref="X110:Y110"/>
    <mergeCell ref="W119:W120"/>
    <mergeCell ref="X119:Y119"/>
  </mergeCells>
  <pageMargins left="0.25" right="0.25" top="0.75" bottom="0.75" header="0.3" footer="0.3"/>
  <pageSetup paperSize="8" fitToHeight="0" orientation="landscape" r:id="rId1"/>
  <rowBreaks count="2" manualBreakCount="2">
    <brk id="52" max="24" man="1"/>
    <brk id="99" max="24"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EB21-FEF2-47BE-8B2A-2C7FE1D9F30D}">
  <dimension ref="A1:AB105"/>
  <sheetViews>
    <sheetView topLeftCell="A72" workbookViewId="0">
      <selection activeCell="V88" sqref="V88"/>
    </sheetView>
  </sheetViews>
  <sheetFormatPr defaultColWidth="8.6328125" defaultRowHeight="14.5" x14ac:dyDescent="0.35"/>
  <cols>
    <col min="1" max="1" width="19.36328125" style="245" customWidth="1"/>
    <col min="2" max="2" width="13.6328125" style="245" customWidth="1"/>
    <col min="3" max="3" width="56.54296875" style="245" hidden="1" customWidth="1"/>
    <col min="4" max="4" width="58" style="245" hidden="1" customWidth="1"/>
    <col min="5" max="5" width="56.54296875" style="245" hidden="1" customWidth="1"/>
    <col min="6" max="6" width="58.6328125" style="245" hidden="1" customWidth="1"/>
    <col min="7" max="7" width="21.6328125" style="245" hidden="1" customWidth="1"/>
    <col min="8" max="8" width="20.6328125" style="245" hidden="1" customWidth="1"/>
    <col min="9" max="9" width="15.36328125" style="588" bestFit="1" customWidth="1"/>
    <col min="10" max="21" width="14.90625" style="594" bestFit="1" customWidth="1"/>
    <col min="22" max="22" width="17.54296875" style="594" customWidth="1"/>
    <col min="23" max="23" width="19.453125" style="594" customWidth="1"/>
    <col min="24" max="24" width="14.453125" style="245" hidden="1" customWidth="1"/>
    <col min="25" max="25" width="8.6328125" style="245"/>
    <col min="26" max="26" width="15.6328125" style="245" bestFit="1" customWidth="1"/>
    <col min="27" max="27" width="14.36328125" style="245" bestFit="1" customWidth="1"/>
    <col min="28" max="28" width="15.453125" style="245" bestFit="1" customWidth="1"/>
    <col min="29" max="16384" width="8.6328125" style="245"/>
  </cols>
  <sheetData>
    <row r="1" spans="1:28" s="247" customFormat="1" x14ac:dyDescent="0.35">
      <c r="A1" s="247" t="s">
        <v>531</v>
      </c>
      <c r="B1" s="247" t="s">
        <v>532</v>
      </c>
      <c r="C1" s="247" t="s">
        <v>548</v>
      </c>
      <c r="D1" s="247" t="s">
        <v>549</v>
      </c>
      <c r="E1" s="247" t="s">
        <v>548</v>
      </c>
      <c r="F1" s="247" t="s">
        <v>549</v>
      </c>
      <c r="G1" s="247" t="s">
        <v>1429</v>
      </c>
      <c r="H1" s="247" t="s">
        <v>1429</v>
      </c>
      <c r="I1" s="585" t="s">
        <v>282</v>
      </c>
      <c r="J1" s="585" t="s">
        <v>521</v>
      </c>
      <c r="K1" s="585" t="s">
        <v>522</v>
      </c>
      <c r="L1" s="585" t="s">
        <v>523</v>
      </c>
      <c r="M1" s="585" t="s">
        <v>524</v>
      </c>
      <c r="N1" s="585" t="s">
        <v>525</v>
      </c>
      <c r="O1" s="585" t="s">
        <v>526</v>
      </c>
      <c r="P1" s="585" t="s">
        <v>527</v>
      </c>
      <c r="Q1" s="585" t="s">
        <v>528</v>
      </c>
      <c r="R1" s="585" t="s">
        <v>540</v>
      </c>
      <c r="S1" s="585" t="s">
        <v>541</v>
      </c>
      <c r="T1" s="585" t="s">
        <v>529</v>
      </c>
      <c r="U1" s="585" t="s">
        <v>530</v>
      </c>
      <c r="V1" s="586" t="s">
        <v>281</v>
      </c>
      <c r="W1" s="586" t="s">
        <v>280</v>
      </c>
    </row>
    <row r="2" spans="1:28" x14ac:dyDescent="0.35">
      <c r="A2" s="247" t="s">
        <v>1520</v>
      </c>
      <c r="I2" s="601">
        <f>SUM(I3:I5)</f>
        <v>112127529.21169856</v>
      </c>
      <c r="J2" s="602"/>
      <c r="K2" s="602"/>
      <c r="L2" s="602"/>
      <c r="M2" s="602"/>
      <c r="N2" s="602"/>
      <c r="O2" s="602"/>
      <c r="P2" s="602"/>
      <c r="Q2" s="602"/>
      <c r="R2" s="602"/>
      <c r="S2" s="602"/>
      <c r="T2" s="602"/>
      <c r="U2" s="602"/>
      <c r="V2" s="603"/>
      <c r="W2" s="603"/>
    </row>
    <row r="3" spans="1:28" x14ac:dyDescent="0.35">
      <c r="A3" s="312" t="s">
        <v>309</v>
      </c>
      <c r="B3" s="312" t="s">
        <v>307</v>
      </c>
      <c r="C3" s="312" t="s">
        <v>824</v>
      </c>
      <c r="D3" s="312" t="s">
        <v>825</v>
      </c>
      <c r="E3" s="245" t="s">
        <v>824</v>
      </c>
      <c r="F3" s="245" t="s">
        <v>825</v>
      </c>
      <c r="I3" s="723">
        <f>SUM(J3:U3)</f>
        <v>25590371.394979622</v>
      </c>
      <c r="J3" s="603">
        <f>(ReducedRandValuesOld!J3*13.74%)+ReducedRandValuesOld!J3</f>
        <v>2584147.8148297416</v>
      </c>
      <c r="K3" s="603">
        <f>(ReducedRandValuesOld!K3*13.74%)+ReducedRandValuesOld!K3</f>
        <v>2527719.15482416</v>
      </c>
      <c r="L3" s="603">
        <f>(ReducedRandValuesOld!L3*13.74%)+ReducedRandValuesOld!L3</f>
        <v>2003021.4477113413</v>
      </c>
      <c r="M3" s="603">
        <f>(ReducedRandValuesOld!M3*13.74%)+ReducedRandValuesOld!M3</f>
        <v>1996014.6913265809</v>
      </c>
      <c r="N3" s="603">
        <f>(ReducedRandValuesOld!N3*13.74%)+ReducedRandValuesOld!N3</f>
        <v>1994052.7995388485</v>
      </c>
      <c r="O3" s="603">
        <f>(ReducedRandValuesOld!O3*13.74%)+ReducedRandValuesOld!O3</f>
        <v>1990689.5564741637</v>
      </c>
      <c r="P3" s="603">
        <f>(ReducedRandValuesOld!P3*13.74%)+ReducedRandValuesOld!P3</f>
        <v>1990199.0835272304</v>
      </c>
      <c r="Q3" s="603">
        <f>(ReducedRandValuesOld!Q3*13.74%)+ReducedRandValuesOld!Q3</f>
        <v>1993422.1914642199</v>
      </c>
      <c r="R3" s="603">
        <f>(ReducedRandValuesOld!R3*13.74%)+ReducedRandValuesOld!R3</f>
        <v>1993422.1914642199</v>
      </c>
      <c r="S3" s="603">
        <f>(ReducedRandValuesOld!S3*13.74%)+ReducedRandValuesOld!S3</f>
        <v>1994823.542741172</v>
      </c>
      <c r="T3" s="603">
        <f>(ReducedRandValuesOld!T3*13.74%)+ReducedRandValuesOld!T3</f>
        <v>1990689.5564741637</v>
      </c>
      <c r="U3" s="603">
        <f>(ReducedRandValuesOld!U3*13.74%)+ReducedRandValuesOld!U3</f>
        <v>2532169.3646037802</v>
      </c>
      <c r="V3" s="628">
        <f>SUM(L3:T3)</f>
        <v>17946335.060721938</v>
      </c>
      <c r="W3" s="628">
        <f>U3+J3+K3</f>
        <v>7644036.3342576819</v>
      </c>
      <c r="Z3" s="270">
        <f>V3+V7</f>
        <v>17954392.830564413</v>
      </c>
      <c r="AA3" s="270">
        <f>W3+W7</f>
        <v>7647151.4811034156</v>
      </c>
      <c r="AB3" s="382">
        <f>SUM(Z3:AA3)</f>
        <v>25601544.31166783</v>
      </c>
    </row>
    <row r="4" spans="1:28" x14ac:dyDescent="0.35">
      <c r="A4" s="312" t="s">
        <v>309</v>
      </c>
      <c r="B4" s="312" t="s">
        <v>307</v>
      </c>
      <c r="C4" s="312" t="s">
        <v>824</v>
      </c>
      <c r="D4" s="312" t="s">
        <v>825</v>
      </c>
      <c r="E4" s="245" t="s">
        <v>824</v>
      </c>
      <c r="F4" s="245" t="s">
        <v>825</v>
      </c>
      <c r="I4" s="604">
        <f>SUM(J4:U4)</f>
        <v>54417428.606243767</v>
      </c>
      <c r="J4" s="603">
        <f>(ReducedRandValuesOld!J4*13.74%)+ReducedRandValuesOld!J4</f>
        <v>5615230.0909345495</v>
      </c>
      <c r="K4" s="603">
        <f>(ReducedRandValuesOld!K4*13.74%)+ReducedRandValuesOld!K4</f>
        <v>3242126.3376979274</v>
      </c>
      <c r="L4" s="603">
        <f>(ReducedRandValuesOld!L4*13.74%)+ReducedRandValuesOld!L4</f>
        <v>3383114.9556983197</v>
      </c>
      <c r="M4" s="603">
        <f>(ReducedRandValuesOld!M4*13.74%)+ReducedRandValuesOld!M4</f>
        <v>3316048.434395696</v>
      </c>
      <c r="N4" s="603">
        <f>(ReducedRandValuesOld!N4*13.74%)+ReducedRandValuesOld!N4</f>
        <v>2794966.8241292746</v>
      </c>
      <c r="O4" s="603">
        <f>(ReducedRandValuesOld!O4*13.74%)+ReducedRandValuesOld!O4</f>
        <v>4993217.641486451</v>
      </c>
      <c r="P4" s="603">
        <f>(ReducedRandValuesOld!P4*13.74%)+ReducedRandValuesOld!P4</f>
        <v>4636143.079982589</v>
      </c>
      <c r="Q4" s="603">
        <f>(ReducedRandValuesOld!Q4*13.74%)+ReducedRandValuesOld!Q4</f>
        <v>4552000.2564502116</v>
      </c>
      <c r="R4" s="603">
        <f>(ReducedRandValuesOld!R4*13.74%)+ReducedRandValuesOld!R4</f>
        <v>5091722.8819353599</v>
      </c>
      <c r="S4" s="603">
        <f>(ReducedRandValuesOld!S4*13.74%)+ReducedRandValuesOld!S4</f>
        <v>4990423.9947966235</v>
      </c>
      <c r="T4" s="603">
        <f>(ReducedRandValuesOld!T4*13.74%)+ReducedRandValuesOld!T4</f>
        <v>5240251.4063359592</v>
      </c>
      <c r="U4" s="603">
        <f>(ReducedRandValuesOld!U4*13.74%)+ReducedRandValuesOld!U4</f>
        <v>6562182.7024008017</v>
      </c>
      <c r="V4" s="605">
        <f>SUM(L4:T4)</f>
        <v>38997889.47521048</v>
      </c>
      <c r="W4" s="605">
        <f>U4+J4+K4</f>
        <v>15419539.131033279</v>
      </c>
      <c r="X4" s="245">
        <f>+W4+V4+V5+W5+V8+V9+W8+W9</f>
        <v>86601594.693304688</v>
      </c>
    </row>
    <row r="5" spans="1:28" x14ac:dyDescent="0.35">
      <c r="A5" s="312" t="s">
        <v>309</v>
      </c>
      <c r="B5" s="312" t="s">
        <v>307</v>
      </c>
      <c r="C5" s="312" t="s">
        <v>824</v>
      </c>
      <c r="D5" s="312" t="s">
        <v>825</v>
      </c>
      <c r="I5" s="604">
        <f>SUM(J5:U5)</f>
        <v>32119729.210475173</v>
      </c>
      <c r="J5" s="603">
        <f>(ReducedRandValuesOld!J5*13.74%)+ReducedRandValuesOld!J5</f>
        <v>5040795.9033343075</v>
      </c>
      <c r="K5" s="603">
        <f>(ReducedRandValuesOld!K5*13.74%)+ReducedRandValuesOld!K5</f>
        <v>576318.24081406067</v>
      </c>
      <c r="L5" s="603">
        <f>(ReducedRandValuesOld!L5*13.74%)+ReducedRandValuesOld!L5</f>
        <v>1843156.7303350884</v>
      </c>
      <c r="M5" s="603">
        <f>(ReducedRandValuesOld!M5*13.74%)+ReducedRandValuesOld!M5</f>
        <v>2039048.6872554286</v>
      </c>
      <c r="N5" s="603">
        <f>(ReducedRandValuesOld!N5*13.74%)+ReducedRandValuesOld!N5</f>
        <v>2029514.9041937147</v>
      </c>
      <c r="O5" s="603">
        <f>(ReducedRandValuesOld!O5*13.74%)+ReducedRandValuesOld!O5</f>
        <v>2920023.9268386592</v>
      </c>
      <c r="P5" s="603">
        <f>(ReducedRandValuesOld!P5*13.74%)+ReducedRandValuesOld!P5</f>
        <v>2711195.6469800565</v>
      </c>
      <c r="Q5" s="603">
        <f>(ReducedRandValuesOld!Q5*13.74%)+ReducedRandValuesOld!Q5</f>
        <v>2662316.903081662</v>
      </c>
      <c r="R5" s="603">
        <f>(ReducedRandValuesOld!R5*13.74%)+ReducedRandValuesOld!R5</f>
        <v>2977880.781328619</v>
      </c>
      <c r="S5" s="603">
        <f>(ReducedRandValuesOld!S5*13.74%)+ReducedRandValuesOld!S5</f>
        <v>2918555.321723985</v>
      </c>
      <c r="T5" s="603">
        <f>(ReducedRandValuesOld!T5*13.74%)+ReducedRandValuesOld!T5</f>
        <v>3064579.5667811669</v>
      </c>
      <c r="U5" s="603">
        <f>(ReducedRandValuesOld!U5*13.74%)+ReducedRandValuesOld!U5</f>
        <v>3336342.5978084239</v>
      </c>
      <c r="V5" s="605">
        <f>SUM(L5:T5)</f>
        <v>23166272.46851838</v>
      </c>
      <c r="W5" s="605">
        <f>U5+J5+K5</f>
        <v>8953456.7419567909</v>
      </c>
    </row>
    <row r="6" spans="1:28" x14ac:dyDescent="0.35">
      <c r="A6" s="247" t="s">
        <v>1521</v>
      </c>
      <c r="I6" s="825">
        <f>SUM(I7:I9)</f>
        <v>75609.793273974006</v>
      </c>
      <c r="J6" s="602"/>
      <c r="K6" s="602"/>
      <c r="L6" s="602"/>
      <c r="M6" s="602"/>
      <c r="N6" s="602"/>
      <c r="O6" s="602"/>
      <c r="P6" s="602"/>
      <c r="Q6" s="602"/>
      <c r="R6" s="602"/>
      <c r="S6" s="602"/>
      <c r="T6" s="602"/>
      <c r="U6" s="602"/>
      <c r="V6" s="603">
        <f>V5+V4+V3</f>
        <v>80110497.004450798</v>
      </c>
      <c r="W6" s="603">
        <f>W5+W4+W3</f>
        <v>32017032.207247753</v>
      </c>
    </row>
    <row r="7" spans="1:28" x14ac:dyDescent="0.35">
      <c r="A7" s="312" t="s">
        <v>309</v>
      </c>
      <c r="B7" s="312" t="s">
        <v>307</v>
      </c>
      <c r="C7" s="312" t="s">
        <v>824</v>
      </c>
      <c r="D7" s="312" t="s">
        <v>825</v>
      </c>
      <c r="E7" s="245" t="s">
        <v>824</v>
      </c>
      <c r="F7" s="245" t="s">
        <v>825</v>
      </c>
      <c r="I7" s="604">
        <f>SUM(J7:U7)</f>
        <v>11172.916688207999</v>
      </c>
      <c r="J7" s="603">
        <f>(ReducedRandValuesOld!J7*13.74%)+ReducedRandValuesOld!J7</f>
        <v>1246.0587382936001</v>
      </c>
      <c r="K7" s="603">
        <f>(ReducedRandValuesOld!K7*13.74%)+ReducedRandValuesOld!K7</f>
        <v>1246.0587382936001</v>
      </c>
      <c r="L7" s="603">
        <f>(ReducedRandValuesOld!L7*13.74%)+ReducedRandValuesOld!L7</f>
        <v>980.94589386639996</v>
      </c>
      <c r="M7" s="603">
        <f>(ReducedRandValuesOld!M7*13.74%)+ReducedRandValuesOld!M7</f>
        <v>910.87833001880006</v>
      </c>
      <c r="N7" s="603">
        <f>(ReducedRandValuesOld!N7*13.74%)+ReducedRandValuesOld!N7</f>
        <v>910.87833001880006</v>
      </c>
      <c r="O7" s="603">
        <f>(ReducedRandValuesOld!O7*13.74%)+ReducedRandValuesOld!O7</f>
        <v>910.87833001880006</v>
      </c>
      <c r="P7" s="603">
        <f>(ReducedRandValuesOld!P7*13.74%)+ReducedRandValuesOld!P7</f>
        <v>910.87833001880006</v>
      </c>
      <c r="Q7" s="603">
        <f>(ReducedRandValuesOld!Q7*13.74%)+ReducedRandValuesOld!Q7</f>
        <v>910.87833001880006</v>
      </c>
      <c r="R7" s="603">
        <f>(ReducedRandValuesOld!R7*13.74%)+ReducedRandValuesOld!R7</f>
        <v>910.87833001880006</v>
      </c>
      <c r="S7" s="603">
        <f>(ReducedRandValuesOld!S7*13.74%)+ReducedRandValuesOld!S7</f>
        <v>910.87833001880006</v>
      </c>
      <c r="T7" s="603">
        <f>(ReducedRandValuesOld!T7*13.74%)+ReducedRandValuesOld!T7</f>
        <v>700.67563847600002</v>
      </c>
      <c r="U7" s="603">
        <f>(ReducedRandValuesOld!U7*13.74%)+ReducedRandValuesOld!U7</f>
        <v>623.02936914680004</v>
      </c>
      <c r="V7" s="628">
        <f>SUM(L7:T7)</f>
        <v>8057.7698424739992</v>
      </c>
      <c r="W7" s="628">
        <f>U7+J7+K7</f>
        <v>3115.1468457340002</v>
      </c>
      <c r="X7" s="245">
        <f>+W7+V7</f>
        <v>11172.916688207999</v>
      </c>
    </row>
    <row r="8" spans="1:28" x14ac:dyDescent="0.35">
      <c r="A8" s="312" t="s">
        <v>309</v>
      </c>
      <c r="B8" s="312" t="s">
        <v>307</v>
      </c>
      <c r="C8" s="312" t="s">
        <v>824</v>
      </c>
      <c r="D8" s="312" t="s">
        <v>825</v>
      </c>
      <c r="E8" s="245" t="s">
        <v>824</v>
      </c>
      <c r="F8" s="245" t="s">
        <v>825</v>
      </c>
      <c r="I8" s="604">
        <f>SUM(J8:U8)</f>
        <v>34967.215575361181</v>
      </c>
      <c r="J8" s="603">
        <f>(ReducedRandValuesOld!J8*13.74%)+ReducedRandValuesOld!J8</f>
        <v>5582.0804024718273</v>
      </c>
      <c r="K8" s="603">
        <f>(ReducedRandValuesOld!K8*13.74%)+ReducedRandValuesOld!K8</f>
        <v>5564.8858753795048</v>
      </c>
      <c r="L8" s="603">
        <f>(ReducedRandValuesOld!L8*13.74%)+ReducedRandValuesOld!L8</f>
        <v>2866.2194008504321</v>
      </c>
      <c r="M8" s="603">
        <f>(ReducedRandValuesOld!M8*13.74%)+ReducedRandValuesOld!M8</f>
        <v>2575.7645000721914</v>
      </c>
      <c r="N8" s="603">
        <f>(ReducedRandValuesOld!N8*13.74%)+ReducedRandValuesOld!N8</f>
        <v>2848.1731656801285</v>
      </c>
      <c r="O8" s="603">
        <f>(ReducedRandValuesOld!O8*13.74%)+ReducedRandValuesOld!O8</f>
        <v>2575.7645000721914</v>
      </c>
      <c r="P8" s="603">
        <f>(ReducedRandValuesOld!P8*13.74%)+ReducedRandValuesOld!P8</f>
        <v>2617.4498118911997</v>
      </c>
      <c r="Q8" s="603">
        <f>(ReducedRandValuesOld!Q8*13.74%)+ReducedRandValuesOld!Q8</f>
        <v>2559.2842605158403</v>
      </c>
      <c r="R8" s="603">
        <f>(ReducedRandValuesOld!R8*13.74%)+ReducedRandValuesOld!R8</f>
        <v>2520.5072262655995</v>
      </c>
      <c r="S8" s="603">
        <f>(ReducedRandValuesOld!S8*13.74%)+ReducedRandValuesOld!S8</f>
        <v>2481.73019201536</v>
      </c>
      <c r="T8" s="603">
        <f>(ReducedRandValuesOld!T8*13.74%)+ReducedRandValuesOld!T8</f>
        <v>1858.3147952230397</v>
      </c>
      <c r="U8" s="603">
        <f>(ReducedRandValuesOld!U8*13.74%)+ReducedRandValuesOld!U8</f>
        <v>917.04144492386456</v>
      </c>
      <c r="V8" s="605">
        <f>SUM(L8:T8)</f>
        <v>22903.20785258598</v>
      </c>
      <c r="W8" s="605">
        <f>U8+J8+K8</f>
        <v>12064.007722775197</v>
      </c>
      <c r="X8" s="245">
        <f>+V8+W8</f>
        <v>34967.215575361173</v>
      </c>
    </row>
    <row r="9" spans="1:28" x14ac:dyDescent="0.35">
      <c r="A9" s="312" t="s">
        <v>309</v>
      </c>
      <c r="B9" s="312" t="s">
        <v>307</v>
      </c>
      <c r="C9" s="312" t="s">
        <v>824</v>
      </c>
      <c r="D9" s="312" t="s">
        <v>825</v>
      </c>
      <c r="I9" s="604">
        <f>SUM(J9:U9)</f>
        <v>29469.661010404838</v>
      </c>
      <c r="J9" s="603">
        <f>(ReducedRandValuesOld!J9*13.74%)+ReducedRandValuesOld!J9</f>
        <v>4418.0790836490742</v>
      </c>
      <c r="K9" s="603">
        <f>(ReducedRandValuesOld!K9*13.74%)+ReducedRandValuesOld!K9</f>
        <v>4425.6550980823104</v>
      </c>
      <c r="L9" s="603">
        <f>(ReducedRandValuesOld!L9*13.74%)+ReducedRandValuesOld!L9</f>
        <v>2621.3461581211523</v>
      </c>
      <c r="M9" s="603">
        <f>(ReducedRandValuesOld!M9*13.74%)+ReducedRandValuesOld!M9</f>
        <v>2428.815609551074</v>
      </c>
      <c r="N9" s="603">
        <f>(ReducedRandValuesOld!N9*13.74%)+ReducedRandValuesOld!N9</f>
        <v>2090.1572239056081</v>
      </c>
      <c r="O9" s="603">
        <f>(ReducedRandValuesOld!O9*13.74%)+ReducedRandValuesOld!O9</f>
        <v>2248.9033421769204</v>
      </c>
      <c r="P9" s="603">
        <f>(ReducedRandValuesOld!P9*13.74%)+ReducedRandValuesOld!P9</f>
        <v>1984.3264783914001</v>
      </c>
      <c r="Q9" s="603">
        <f>(ReducedRandValuesOld!Q9*13.74%)+ReducedRandValuesOld!Q9</f>
        <v>1666.8342418487759</v>
      </c>
      <c r="R9" s="603">
        <f>(ReducedRandValuesOld!R9*13.74%)+ReducedRandValuesOld!R9</f>
        <v>2645.7686378552003</v>
      </c>
      <c r="S9" s="603">
        <f>(ReducedRandValuesOld!S9*13.74%)+ReducedRandValuesOld!S9</f>
        <v>2645.7686378552003</v>
      </c>
      <c r="T9" s="603">
        <f>(ReducedRandValuesOld!T9*13.74%)+ReducedRandValuesOld!T9</f>
        <v>1565.5435726953842</v>
      </c>
      <c r="U9" s="603">
        <f>(ReducedRandValuesOld!U9*13.74%)+ReducedRandValuesOld!U9</f>
        <v>728.4629262727384</v>
      </c>
      <c r="V9" s="605">
        <f>SUM(L9:T9)</f>
        <v>19897.463902400716</v>
      </c>
      <c r="W9" s="605">
        <f>U9+J9+K9</f>
        <v>9572.1971080041221</v>
      </c>
      <c r="X9" s="245">
        <f>+V9+W9</f>
        <v>29469.661010404838</v>
      </c>
    </row>
    <row r="10" spans="1:28" x14ac:dyDescent="0.35">
      <c r="A10" s="247" t="s">
        <v>1484</v>
      </c>
      <c r="I10" s="601">
        <f>SUM(I11:I12)</f>
        <v>1542603904.7926457</v>
      </c>
      <c r="J10" s="602"/>
      <c r="K10" s="602">
        <f>1595593567.56-I10</f>
        <v>52989662.76735425</v>
      </c>
      <c r="L10" s="602"/>
      <c r="M10" s="602"/>
      <c r="N10" s="602"/>
      <c r="O10" s="602"/>
      <c r="P10" s="602"/>
      <c r="Q10" s="602"/>
      <c r="R10" s="602"/>
      <c r="S10" s="602"/>
      <c r="T10" s="602"/>
      <c r="U10" s="602"/>
      <c r="V10" s="603">
        <f>V9+V8+V7</f>
        <v>50858.441597460696</v>
      </c>
      <c r="W10" s="603">
        <f>W9+W8+W7</f>
        <v>24751.351676513321</v>
      </c>
      <c r="X10" s="245">
        <f>+X9+X8</f>
        <v>64436.876585766011</v>
      </c>
    </row>
    <row r="11" spans="1:28" x14ac:dyDescent="0.35">
      <c r="A11" s="312" t="s">
        <v>305</v>
      </c>
      <c r="B11" s="312" t="s">
        <v>252</v>
      </c>
      <c r="C11" s="312" t="s">
        <v>1042</v>
      </c>
      <c r="D11" s="312" t="s">
        <v>1045</v>
      </c>
      <c r="E11" s="245" t="s">
        <v>1042</v>
      </c>
      <c r="F11" s="245" t="s">
        <v>1045</v>
      </c>
      <c r="I11" s="604">
        <f>SUM(J11:U11)</f>
        <v>1163857333.545258</v>
      </c>
      <c r="J11" s="603">
        <f>(ReducedRandValuesOld!J11*13.74%)+ReducedRandValuesOld!J11</f>
        <v>121585478.25355628</v>
      </c>
      <c r="K11" s="603">
        <f>(ReducedRandValuesOld!K11*13.74%)+ReducedRandValuesOld!K11</f>
        <v>119055585.84057702</v>
      </c>
      <c r="L11" s="603">
        <f>(ReducedRandValuesOld!L11*13.74%)+ReducedRandValuesOld!L11</f>
        <v>111021758.81455559</v>
      </c>
      <c r="M11" s="603">
        <f>(ReducedRandValuesOld!M11*13.74%)+ReducedRandValuesOld!M11</f>
        <v>111684025.87119013</v>
      </c>
      <c r="N11" s="603">
        <f>(ReducedRandValuesOld!N11*13.74%)+ReducedRandValuesOld!N11</f>
        <v>112036647.54439378</v>
      </c>
      <c r="O11" s="603">
        <f>(ReducedRandValuesOld!O11*13.74%)+ReducedRandValuesOld!O11</f>
        <v>109461422.2698489</v>
      </c>
      <c r="P11" s="603">
        <f>(ReducedRandValuesOld!P11*13.74%)+ReducedRandValuesOld!P11</f>
        <v>104602670.75879019</v>
      </c>
      <c r="Q11" s="603">
        <f>(ReducedRandValuesOld!Q11*13.74%)+ReducedRandValuesOld!Q11</f>
        <v>50329561.61267709</v>
      </c>
      <c r="R11" s="603">
        <f>(ReducedRandValuesOld!R11*13.74%)+ReducedRandValuesOld!R11</f>
        <v>50492039.727377415</v>
      </c>
      <c r="S11" s="603">
        <f>(ReducedRandValuesOld!S11*13.74%)+ReducedRandValuesOld!S11</f>
        <v>49154212.316134609</v>
      </c>
      <c r="T11" s="603">
        <f>(ReducedRandValuesOld!T11*13.74%)+ReducedRandValuesOld!T11</f>
        <v>113327892.48297283</v>
      </c>
      <c r="U11" s="603">
        <f>(ReducedRandValuesOld!U11*13.74%)+ReducedRandValuesOld!U11</f>
        <v>111106038.05318414</v>
      </c>
      <c r="V11" s="605">
        <f>SUM(L11:T11)</f>
        <v>812110231.39794052</v>
      </c>
      <c r="W11" s="605">
        <f>U11+J11+K11</f>
        <v>351747102.14731741</v>
      </c>
    </row>
    <row r="12" spans="1:28" x14ac:dyDescent="0.35">
      <c r="A12" s="312" t="s">
        <v>305</v>
      </c>
      <c r="B12" s="312" t="s">
        <v>252</v>
      </c>
      <c r="C12" s="312" t="s">
        <v>1042</v>
      </c>
      <c r="D12" s="312" t="s">
        <v>1045</v>
      </c>
      <c r="E12" s="245" t="s">
        <v>1042</v>
      </c>
      <c r="F12" s="245" t="s">
        <v>1045</v>
      </c>
      <c r="I12" s="604">
        <f>SUM(J12:U12)</f>
        <v>378746571.24738771</v>
      </c>
      <c r="J12" s="603">
        <f>(ReducedRandValuesOld!J12*13.74%)+ReducedRandValuesOld!J12</f>
        <v>34888874.715511799</v>
      </c>
      <c r="K12" s="603">
        <f>(ReducedRandValuesOld!K12*13.74%)+ReducedRandValuesOld!K12</f>
        <v>34371807.530949354</v>
      </c>
      <c r="L12" s="603">
        <f>(ReducedRandValuesOld!L12*13.74%)+ReducedRandValuesOld!L12</f>
        <v>26916486.769801311</v>
      </c>
      <c r="M12" s="603">
        <f>(ReducedRandValuesOld!M12*13.74%)+ReducedRandValuesOld!M12</f>
        <v>25910532.00334524</v>
      </c>
      <c r="N12" s="603">
        <f>(ReducedRandValuesOld!N12*13.74%)+ReducedRandValuesOld!N12</f>
        <v>25953178.851025656</v>
      </c>
      <c r="O12" s="603">
        <f>(ReducedRandValuesOld!O12*13.74%)+ReducedRandValuesOld!O12</f>
        <v>25667412.589784574</v>
      </c>
      <c r="P12" s="603">
        <f>(ReducedRandValuesOld!P12*13.74%)+ReducedRandValuesOld!P12</f>
        <v>24300882.966546778</v>
      </c>
      <c r="Q12" s="603">
        <f>(ReducedRandValuesOld!Q12*13.74%)+ReducedRandValuesOld!Q12</f>
        <v>22932410.857796986</v>
      </c>
      <c r="R12" s="603">
        <f>(ReducedRandValuesOld!R12*13.74%)+ReducedRandValuesOld!R12</f>
        <v>25801249.02191855</v>
      </c>
      <c r="S12" s="603">
        <f>(ReducedRandValuesOld!S12*13.74%)+ReducedRandValuesOld!S12</f>
        <v>27673983.905169882</v>
      </c>
      <c r="T12" s="603">
        <f>(ReducedRandValuesOld!T12*13.74%)+ReducedRandValuesOld!T12</f>
        <v>31943968.826210491</v>
      </c>
      <c r="U12" s="603">
        <f>(ReducedRandValuesOld!U12*13.74%)+ReducedRandValuesOld!U12</f>
        <v>72385783.209327057</v>
      </c>
      <c r="V12" s="605">
        <f>SUM(L12:T12)</f>
        <v>237100105.79159948</v>
      </c>
      <c r="W12" s="605">
        <f>U12+J12+K12</f>
        <v>141646465.4557882</v>
      </c>
    </row>
    <row r="13" spans="1:28" x14ac:dyDescent="0.35">
      <c r="A13" s="247" t="s">
        <v>1483</v>
      </c>
      <c r="I13" s="601">
        <f>SUM(I14:I15)</f>
        <v>59303852.296063527</v>
      </c>
      <c r="J13" s="611"/>
      <c r="K13" s="611"/>
      <c r="L13" s="611"/>
      <c r="M13" s="637"/>
      <c r="N13" s="637"/>
      <c r="O13" s="637"/>
      <c r="P13" s="611"/>
      <c r="Q13" s="611"/>
      <c r="R13" s="611"/>
      <c r="S13" s="611"/>
      <c r="T13" s="611"/>
      <c r="U13" s="611"/>
      <c r="V13" s="611">
        <f>+V12+V11</f>
        <v>1049210337.18954</v>
      </c>
      <c r="W13" s="611">
        <f>+W12+W11</f>
        <v>493393567.6031056</v>
      </c>
    </row>
    <row r="14" spans="1:28" x14ac:dyDescent="0.35">
      <c r="A14" s="312" t="s">
        <v>305</v>
      </c>
      <c r="B14" s="312" t="s">
        <v>252</v>
      </c>
      <c r="C14" s="312" t="s">
        <v>1042</v>
      </c>
      <c r="D14" s="312" t="s">
        <v>1045</v>
      </c>
      <c r="I14" s="604">
        <f>SUM(J14:U14)</f>
        <v>14737360.46211734</v>
      </c>
      <c r="J14" s="603">
        <f>(ReducedRandValuesOld!J14*13.74%)+ReducedRandValuesOld!J14</f>
        <v>1593390.6433380011</v>
      </c>
      <c r="K14" s="603">
        <f>(ReducedRandValuesOld!K14*13.74%)+ReducedRandValuesOld!K14</f>
        <v>1593390.6433380011</v>
      </c>
      <c r="L14" s="603">
        <f>(ReducedRandValuesOld!L14*13.74%)+ReducedRandValuesOld!L14</f>
        <v>1178721.5652070937</v>
      </c>
      <c r="M14" s="603">
        <f>(ReducedRandValuesOld!M14*13.74%)+ReducedRandValuesOld!M14</f>
        <v>1178721.5652070937</v>
      </c>
      <c r="N14" s="603">
        <f>(ReducedRandValuesOld!N14*13.74%)+ReducedRandValuesOld!N14</f>
        <v>1178721.5652070937</v>
      </c>
      <c r="O14" s="603">
        <f>(ReducedRandValuesOld!O14*13.74%)+ReducedRandValuesOld!O14</f>
        <v>1132176.5300815201</v>
      </c>
      <c r="P14" s="603">
        <f>(ReducedRandValuesOld!P14*13.74%)+ReducedRandValuesOld!P14</f>
        <v>1132176.5300815201</v>
      </c>
      <c r="Q14" s="603">
        <f>(ReducedRandValuesOld!Q14*13.74%)+ReducedRandValuesOld!Q14</f>
        <v>1119596.7908583921</v>
      </c>
      <c r="R14" s="603">
        <f>(ReducedRandValuesOld!R14*13.74%)+ReducedRandValuesOld!R14</f>
        <v>1119596.7908583921</v>
      </c>
      <c r="S14" s="603">
        <f>(ReducedRandValuesOld!S14*13.74%)+ReducedRandValuesOld!S14</f>
        <v>1119596.7908583921</v>
      </c>
      <c r="T14" s="603">
        <f>(ReducedRandValuesOld!T14*13.74%)+ReducedRandValuesOld!T14</f>
        <v>1069277.8339658799</v>
      </c>
      <c r="U14" s="603">
        <f>(ReducedRandValuesOld!U14*13.74%)+ReducedRandValuesOld!U14</f>
        <v>1321993.2131159599</v>
      </c>
      <c r="V14" s="605">
        <f>SUM(L14:T14)</f>
        <v>10228585.962325376</v>
      </c>
      <c r="W14" s="605">
        <f>U14+J14+K14</f>
        <v>4508774.4997919621</v>
      </c>
    </row>
    <row r="15" spans="1:28" x14ac:dyDescent="0.35">
      <c r="A15" s="312" t="s">
        <v>305</v>
      </c>
      <c r="B15" s="312" t="s">
        <v>252</v>
      </c>
      <c r="C15" s="312" t="s">
        <v>1042</v>
      </c>
      <c r="D15" s="312" t="s">
        <v>1045</v>
      </c>
      <c r="I15" s="604">
        <f>SUM(J15:U15)</f>
        <v>44566491.833946183</v>
      </c>
      <c r="J15" s="603">
        <f>(ReducedRandValuesOld!J15*13.74%)+ReducedRandValuesOld!J15</f>
        <v>5026581.0845439788</v>
      </c>
      <c r="K15" s="603">
        <f>(ReducedRandValuesOld!K15*13.74%)+ReducedRandValuesOld!K15</f>
        <v>2752467.4224486426</v>
      </c>
      <c r="L15" s="603">
        <f>(ReducedRandValuesOld!L15*13.74%)+ReducedRandValuesOld!L15</f>
        <v>5221876.1853967067</v>
      </c>
      <c r="M15" s="603">
        <f>(ReducedRandValuesOld!M15*13.74%)+ReducedRandValuesOld!M15</f>
        <v>5180427.7861887189</v>
      </c>
      <c r="N15" s="603">
        <f>(ReducedRandValuesOld!N15*13.74%)+ReducedRandValuesOld!N15</f>
        <v>4067269.9804424606</v>
      </c>
      <c r="O15" s="603">
        <f>(ReducedRandValuesOld!O15*13.74%)+ReducedRandValuesOld!O15</f>
        <v>4342275.890243182</v>
      </c>
      <c r="P15" s="603">
        <f>(ReducedRandValuesOld!P15*13.74%)+ReducedRandValuesOld!P15</f>
        <v>4938965.8239178099</v>
      </c>
      <c r="Q15" s="603">
        <f>(ReducedRandValuesOld!Q15*13.74%)+ReducedRandValuesOld!Q15</f>
        <v>2136396.2854948305</v>
      </c>
      <c r="R15" s="603">
        <f>(ReducedRandValuesOld!R15*13.74%)+ReducedRandValuesOld!R15</f>
        <v>2701970.5195271545</v>
      </c>
      <c r="S15" s="603">
        <f>(ReducedRandValuesOld!S15*13.74%)+ReducedRandValuesOld!S15</f>
        <v>2659646.6281727701</v>
      </c>
      <c r="T15" s="603">
        <f>(ReducedRandValuesOld!T15*13.74%)+ReducedRandValuesOld!T15</f>
        <v>1822221.2521105919</v>
      </c>
      <c r="U15" s="603">
        <f>(ReducedRandValuesOld!U15*13.74%)+ReducedRandValuesOld!U15</f>
        <v>3716392.9754593349</v>
      </c>
      <c r="V15" s="605">
        <f>SUM(L15:T15)</f>
        <v>33071050.351494227</v>
      </c>
      <c r="W15" s="605">
        <f>U15+J15+K15</f>
        <v>11495441.482451957</v>
      </c>
    </row>
    <row r="16" spans="1:28" x14ac:dyDescent="0.35">
      <c r="A16" s="247" t="s">
        <v>537</v>
      </c>
      <c r="I16" s="601">
        <f>SUM(I17:I20)</f>
        <v>477975.89130097313</v>
      </c>
      <c r="J16" s="602"/>
      <c r="K16" s="602"/>
      <c r="L16" s="602"/>
      <c r="M16" s="602"/>
      <c r="N16" s="602"/>
      <c r="O16" s="602"/>
      <c r="P16" s="602"/>
      <c r="Q16" s="602"/>
      <c r="R16" s="602"/>
      <c r="S16" s="602"/>
      <c r="T16" s="602"/>
      <c r="U16" s="602"/>
      <c r="V16" s="603">
        <f>+V15+V14</f>
        <v>43299636.313819602</v>
      </c>
      <c r="W16" s="603">
        <f>+W15+W14</f>
        <v>16004215.982243918</v>
      </c>
    </row>
    <row r="17" spans="1:26" x14ac:dyDescent="0.35">
      <c r="A17" s="311" t="s">
        <v>371</v>
      </c>
      <c r="B17" s="311" t="s">
        <v>371</v>
      </c>
      <c r="C17" s="311" t="s">
        <v>838</v>
      </c>
      <c r="D17" s="311" t="s">
        <v>838</v>
      </c>
      <c r="E17" s="245" t="s">
        <v>839</v>
      </c>
      <c r="F17" s="245" t="s">
        <v>839</v>
      </c>
      <c r="I17" s="604">
        <f>SUM(J17:U17)</f>
        <v>210808.45604862252</v>
      </c>
      <c r="J17" s="603">
        <f>(ReducedRandValuesOld!J17*13.74%)+ReducedRandValuesOld!J17</f>
        <v>17567.371337385212</v>
      </c>
      <c r="K17" s="603">
        <f>(ReducedRandValuesOld!K17*13.74%)+ReducedRandValuesOld!K17</f>
        <v>17567.371337385212</v>
      </c>
      <c r="L17" s="603">
        <f>(ReducedRandValuesOld!L17*13.74%)+ReducedRandValuesOld!L17</f>
        <v>17567.371337385212</v>
      </c>
      <c r="M17" s="603">
        <f>(ReducedRandValuesOld!M17*13.74%)+ReducedRandValuesOld!M17</f>
        <v>17567.371337385212</v>
      </c>
      <c r="N17" s="603">
        <f>(ReducedRandValuesOld!N17*13.74%)+ReducedRandValuesOld!N17</f>
        <v>17567.371337385212</v>
      </c>
      <c r="O17" s="603">
        <f>(ReducedRandValuesOld!O17*13.74%)+ReducedRandValuesOld!O17</f>
        <v>17567.371337385212</v>
      </c>
      <c r="P17" s="603">
        <f>(ReducedRandValuesOld!P17*13.74%)+ReducedRandValuesOld!P17</f>
        <v>17567.371337385212</v>
      </c>
      <c r="Q17" s="603">
        <f>(ReducedRandValuesOld!Q17*13.74%)+ReducedRandValuesOld!Q17</f>
        <v>17567.371337385212</v>
      </c>
      <c r="R17" s="603">
        <f>(ReducedRandValuesOld!R17*13.74%)+ReducedRandValuesOld!R17</f>
        <v>17567.371337385212</v>
      </c>
      <c r="S17" s="603">
        <f>(ReducedRandValuesOld!S17*13.74%)+ReducedRandValuesOld!S17</f>
        <v>17567.371337385212</v>
      </c>
      <c r="T17" s="603">
        <f>(ReducedRandValuesOld!T17*13.74%)+ReducedRandValuesOld!T17</f>
        <v>17567.371337385212</v>
      </c>
      <c r="U17" s="603">
        <f>(ReducedRandValuesOld!U17*13.74%)+ReducedRandValuesOld!U17</f>
        <v>17567.371337385212</v>
      </c>
      <c r="V17" s="605">
        <f>SUM(L17:T17)</f>
        <v>158106.3420364669</v>
      </c>
      <c r="W17" s="605">
        <f>U17+J17+K17</f>
        <v>52702.114012155638</v>
      </c>
      <c r="X17" s="245">
        <f>+V21+W21</f>
        <v>477975.89130097307</v>
      </c>
    </row>
    <row r="18" spans="1:26" x14ac:dyDescent="0.35">
      <c r="A18" s="311" t="s">
        <v>381</v>
      </c>
      <c r="B18" s="311" t="s">
        <v>375</v>
      </c>
      <c r="C18" s="311" t="s">
        <v>834</v>
      </c>
      <c r="D18" s="311" t="s">
        <v>836</v>
      </c>
      <c r="E18" s="245" t="s">
        <v>827</v>
      </c>
      <c r="F18" s="245" t="s">
        <v>830</v>
      </c>
      <c r="I18" s="604">
        <f>SUM(J18:U18)</f>
        <v>68660.351086350594</v>
      </c>
      <c r="J18" s="603">
        <f>(ReducedRandValuesOld!J18*13.74%)+ReducedRandValuesOld!J18</f>
        <v>7627.0736715959792</v>
      </c>
      <c r="K18" s="603">
        <f>(ReducedRandValuesOld!K18*13.74%)+ReducedRandValuesOld!K18</f>
        <v>3746.7343809110471</v>
      </c>
      <c r="L18" s="603">
        <f>(ReducedRandValuesOld!L18*13.74%)+ReducedRandValuesOld!L18</f>
        <v>1660.8954344915328</v>
      </c>
      <c r="M18" s="603">
        <f>(ReducedRandValuesOld!M18*13.74%)+ReducedRandValuesOld!M18</f>
        <v>1462.4274240883931</v>
      </c>
      <c r="N18" s="603">
        <f>(ReducedRandValuesOld!N18*13.74%)+ReducedRandValuesOld!N18</f>
        <v>1607.5309241414438</v>
      </c>
      <c r="O18" s="603">
        <f>(ReducedRandValuesOld!O18*13.74%)+ReducedRandValuesOld!O18</f>
        <v>1170.2717199526533</v>
      </c>
      <c r="P18" s="603">
        <f>(ReducedRandValuesOld!P18*13.74%)+ReducedRandValuesOld!P18</f>
        <v>1295.588379089379</v>
      </c>
      <c r="Q18" s="603">
        <f>(ReducedRandValuesOld!Q18*13.74%)+ReducedRandValuesOld!Q18</f>
        <v>4936.7168750831361</v>
      </c>
      <c r="R18" s="603">
        <f>(ReducedRandValuesOld!R18*13.74%)+ReducedRandValuesOld!R18</f>
        <v>5509.6358597967319</v>
      </c>
      <c r="S18" s="603">
        <f>(ReducedRandValuesOld!S18*13.74%)+ReducedRandValuesOld!S18</f>
        <v>5534.319444172148</v>
      </c>
      <c r="T18" s="603">
        <f>(ReducedRandValuesOld!T18*13.74%)+ReducedRandValuesOld!T18</f>
        <v>6413.8345295488007</v>
      </c>
      <c r="U18" s="603">
        <f>(ReducedRandValuesOld!U18*13.74%)+ReducedRandValuesOld!U18</f>
        <v>27695.322443479337</v>
      </c>
      <c r="V18" s="605">
        <f>SUM(L18:T18)</f>
        <v>29591.220590364221</v>
      </c>
      <c r="W18" s="605">
        <f>U18+J18+K18</f>
        <v>39069.130495986363</v>
      </c>
    </row>
    <row r="19" spans="1:26" x14ac:dyDescent="0.35">
      <c r="A19" s="311" t="s">
        <v>383</v>
      </c>
      <c r="B19" s="311" t="s">
        <v>377</v>
      </c>
      <c r="C19" s="311" t="s">
        <v>832</v>
      </c>
      <c r="D19" s="311" t="s">
        <v>835</v>
      </c>
      <c r="E19" s="245" t="s">
        <v>826</v>
      </c>
      <c r="F19" s="245" t="s">
        <v>829</v>
      </c>
      <c r="I19" s="604">
        <f>SUM(J19:U19)</f>
        <v>89636.489823625685</v>
      </c>
      <c r="J19" s="603">
        <f>(ReducedRandValuesOld!J19*13.74%)+ReducedRandValuesOld!J19</f>
        <v>7110.0558426433527</v>
      </c>
      <c r="K19" s="603">
        <f>(ReducedRandValuesOld!K19*13.74%)+ReducedRandValuesOld!K19</f>
        <v>3626.9508900658175</v>
      </c>
      <c r="L19" s="603">
        <f>(ReducedRandValuesOld!L19*13.74%)+ReducedRandValuesOld!L19</f>
        <v>2580.2288439348958</v>
      </c>
      <c r="M19" s="603">
        <f>(ReducedRandValuesOld!M19*13.74%)+ReducedRandValuesOld!M19</f>
        <v>2439.6935038512961</v>
      </c>
      <c r="N19" s="603">
        <f>(ReducedRandValuesOld!N19*13.74%)+ReducedRandValuesOld!N19</f>
        <v>2586.1875423544407</v>
      </c>
      <c r="O19" s="603">
        <f>(ReducedRandValuesOld!O19*13.74%)+ReducedRandValuesOld!O19</f>
        <v>1821.1131509393222</v>
      </c>
      <c r="P19" s="603">
        <f>(ReducedRandValuesOld!P19*13.74%)+ReducedRandValuesOld!P19</f>
        <v>1957.7135015005813</v>
      </c>
      <c r="Q19" s="603">
        <f>(ReducedRandValuesOld!Q19*13.74%)+ReducedRandValuesOld!Q19</f>
        <v>9012.9998106948788</v>
      </c>
      <c r="R19" s="603">
        <f>(ReducedRandValuesOld!R19*13.74%)+ReducedRandValuesOld!R19</f>
        <v>9646.3457433383028</v>
      </c>
      <c r="S19" s="603">
        <f>(ReducedRandValuesOld!S19*13.74%)+ReducedRandValuesOld!S19</f>
        <v>9082.6678632856565</v>
      </c>
      <c r="T19" s="603">
        <f>(ReducedRandValuesOld!T19*13.74%)+ReducedRandValuesOld!T19</f>
        <v>11898.134128475152</v>
      </c>
      <c r="U19" s="603">
        <f>(ReducedRandValuesOld!U19*13.74%)+ReducedRandValuesOld!U19</f>
        <v>27874.399002541981</v>
      </c>
      <c r="V19" s="605">
        <f>SUM(L19:T19)</f>
        <v>51025.084088374526</v>
      </c>
      <c r="W19" s="605">
        <f>U19+J19+K19</f>
        <v>38611.405735251152</v>
      </c>
    </row>
    <row r="20" spans="1:26" x14ac:dyDescent="0.35">
      <c r="A20" s="311" t="s">
        <v>379</v>
      </c>
      <c r="B20" s="311" t="s">
        <v>373</v>
      </c>
      <c r="C20" s="311" t="s">
        <v>833</v>
      </c>
      <c r="D20" s="311" t="s">
        <v>837</v>
      </c>
      <c r="E20" s="245" t="s">
        <v>828</v>
      </c>
      <c r="F20" s="245" t="s">
        <v>831</v>
      </c>
      <c r="I20" s="604">
        <f>SUM(J20:U20)</f>
        <v>108870.59434237433</v>
      </c>
      <c r="J20" s="603">
        <f>(ReducedRandValuesOld!J20*13.74%)+ReducedRandValuesOld!J20</f>
        <v>9887.3023698400575</v>
      </c>
      <c r="K20" s="603">
        <f>(ReducedRandValuesOld!K20*13.74%)+ReducedRandValuesOld!K20</f>
        <v>6152.1610009623491</v>
      </c>
      <c r="L20" s="603">
        <f>(ReducedRandValuesOld!L20*13.74%)+ReducedRandValuesOld!L20</f>
        <v>2946.0462218052521</v>
      </c>
      <c r="M20" s="603">
        <f>(ReducedRandValuesOld!M20*13.74%)+ReducedRandValuesOld!M20</f>
        <v>2901.0713141065921</v>
      </c>
      <c r="N20" s="603">
        <f>(ReducedRandValuesOld!N20*13.74%)+ReducedRandValuesOld!N20</f>
        <v>2985.5178707559739</v>
      </c>
      <c r="O20" s="603">
        <f>(ReducedRandValuesOld!O20*13.74%)+ReducedRandValuesOld!O20</f>
        <v>2756.4684463159642</v>
      </c>
      <c r="P20" s="603">
        <f>(ReducedRandValuesOld!P20*13.74%)+ReducedRandValuesOld!P20</f>
        <v>2682.3642207618432</v>
      </c>
      <c r="Q20" s="603">
        <f>(ReducedRandValuesOld!Q20*13.74%)+ReducedRandValuesOld!Q20</f>
        <v>11167.18734897526</v>
      </c>
      <c r="R20" s="603">
        <f>(ReducedRandValuesOld!R20*13.74%)+ReducedRandValuesOld!R20</f>
        <v>11553.680578284417</v>
      </c>
      <c r="S20" s="603">
        <f>(ReducedRandValuesOld!S20*13.74%)+ReducedRandValuesOld!S20</f>
        <v>11127.30453701463</v>
      </c>
      <c r="T20" s="603">
        <f>(ReducedRandValuesOld!T20*13.74%)+ReducedRandValuesOld!T20</f>
        <v>12783.88030391527</v>
      </c>
      <c r="U20" s="603">
        <f>(ReducedRandValuesOld!U20*13.74%)+ReducedRandValuesOld!U20</f>
        <v>31927.610129636709</v>
      </c>
      <c r="V20" s="605">
        <f>SUM(L20:T20)</f>
        <v>60903.520841935198</v>
      </c>
      <c r="W20" s="605">
        <f>U20+J20+K20</f>
        <v>47967.07350043911</v>
      </c>
    </row>
    <row r="21" spans="1:26" x14ac:dyDescent="0.35">
      <c r="A21" s="247" t="s">
        <v>536</v>
      </c>
      <c r="B21" s="247"/>
      <c r="C21" s="247"/>
      <c r="D21" s="247"/>
      <c r="E21" s="247"/>
      <c r="F21" s="247"/>
      <c r="G21" s="247"/>
      <c r="H21" s="247"/>
      <c r="I21" s="601">
        <f>SUM(I22:I25)</f>
        <v>29933829.480112374</v>
      </c>
      <c r="J21" s="607"/>
      <c r="K21" s="607"/>
      <c r="L21" s="607"/>
      <c r="M21" s="607"/>
      <c r="N21" s="607"/>
      <c r="O21" s="607"/>
      <c r="P21" s="607"/>
      <c r="Q21" s="607"/>
      <c r="R21" s="607"/>
      <c r="S21" s="607"/>
      <c r="T21" s="607"/>
      <c r="U21" s="607"/>
      <c r="V21" s="603">
        <f>+V20+V19+V18+V17</f>
        <v>299626.16755714081</v>
      </c>
      <c r="W21" s="603">
        <f>+W20+W19+W18+W17</f>
        <v>178349.72374383226</v>
      </c>
    </row>
    <row r="22" spans="1:26" x14ac:dyDescent="0.35">
      <c r="A22" s="312" t="s">
        <v>368</v>
      </c>
      <c r="B22" s="312" t="s">
        <v>368</v>
      </c>
      <c r="C22" s="312" t="s">
        <v>839</v>
      </c>
      <c r="D22" s="312" t="s">
        <v>839</v>
      </c>
      <c r="F22" s="245" t="s">
        <v>838</v>
      </c>
      <c r="I22" s="604">
        <f>SUM(J22:U22)</f>
        <v>1488124.4766899331</v>
      </c>
      <c r="J22" s="603">
        <f>(ReducedRandValuesOld!J22*13.74%)+ReducedRandValuesOld!J22</f>
        <v>124010.37305749445</v>
      </c>
      <c r="K22" s="603">
        <f>(ReducedRandValuesOld!K22*13.74%)+ReducedRandValuesOld!K22</f>
        <v>124010.37305749445</v>
      </c>
      <c r="L22" s="603">
        <f>(ReducedRandValuesOld!L22*13.74%)+ReducedRandValuesOld!L22</f>
        <v>124010.37305749445</v>
      </c>
      <c r="M22" s="603">
        <f>(ReducedRandValuesOld!M22*13.74%)+ReducedRandValuesOld!M22</f>
        <v>124010.37305749445</v>
      </c>
      <c r="N22" s="603">
        <f>(ReducedRandValuesOld!N22*13.74%)+ReducedRandValuesOld!N22</f>
        <v>124010.37305749445</v>
      </c>
      <c r="O22" s="603">
        <f>(ReducedRandValuesOld!O22*13.74%)+ReducedRandValuesOld!O22</f>
        <v>124010.37305749445</v>
      </c>
      <c r="P22" s="603">
        <f>(ReducedRandValuesOld!P22*13.74%)+ReducedRandValuesOld!P22</f>
        <v>124010.37305749445</v>
      </c>
      <c r="Q22" s="603">
        <f>(ReducedRandValuesOld!Q22*13.74%)+ReducedRandValuesOld!Q22</f>
        <v>124010.37305749445</v>
      </c>
      <c r="R22" s="603">
        <f>(ReducedRandValuesOld!R22*13.74%)+ReducedRandValuesOld!R22</f>
        <v>124010.37305749445</v>
      </c>
      <c r="S22" s="603">
        <f>(ReducedRandValuesOld!S22*13.74%)+ReducedRandValuesOld!S22</f>
        <v>124010.37305749445</v>
      </c>
      <c r="T22" s="603">
        <f>(ReducedRandValuesOld!T22*13.74%)+ReducedRandValuesOld!T22</f>
        <v>124010.37305749445</v>
      </c>
      <c r="U22" s="603">
        <f>(ReducedRandValuesOld!U22*13.74%)+ReducedRandValuesOld!U22</f>
        <v>124010.37305749445</v>
      </c>
      <c r="V22" s="605">
        <f>SUM(L22:T22)</f>
        <v>1116093.3575174499</v>
      </c>
      <c r="W22" s="605">
        <f>U22+J22+K22</f>
        <v>372031.11917248333</v>
      </c>
    </row>
    <row r="23" spans="1:26" x14ac:dyDescent="0.35">
      <c r="A23" s="312" t="s">
        <v>364</v>
      </c>
      <c r="B23" s="312" t="s">
        <v>358</v>
      </c>
      <c r="C23" s="312" t="s">
        <v>827</v>
      </c>
      <c r="D23" s="312" t="s">
        <v>830</v>
      </c>
      <c r="F23" s="245" t="s">
        <v>836</v>
      </c>
      <c r="I23" s="604">
        <f>SUM(J23:U23)</f>
        <v>7758928.0417707916</v>
      </c>
      <c r="J23" s="603">
        <f>(ReducedRandValuesOld!J23*13.74%)+ReducedRandValuesOld!J23</f>
        <v>1252033.9689904433</v>
      </c>
      <c r="K23" s="603">
        <f>(ReducedRandValuesOld!K23*13.74%)+ReducedRandValuesOld!K23</f>
        <v>1234838.3177930992</v>
      </c>
      <c r="L23" s="603">
        <f>(ReducedRandValuesOld!L23*13.74%)+ReducedRandValuesOld!L23</f>
        <v>571428.57589831238</v>
      </c>
      <c r="M23" s="603">
        <f>(ReducedRandValuesOld!M23*13.74%)+ReducedRandValuesOld!M23</f>
        <v>484783.64842913439</v>
      </c>
      <c r="N23" s="603">
        <f>(ReducedRandValuesOld!N23*13.74%)+ReducedRandValuesOld!N23</f>
        <v>460267.10296579765</v>
      </c>
      <c r="O23" s="603">
        <f>(ReducedRandValuesOld!O23*13.74%)+ReducedRandValuesOld!O23</f>
        <v>357259.65726129862</v>
      </c>
      <c r="P23" s="603">
        <f>(ReducedRandValuesOld!P23*13.74%)+ReducedRandValuesOld!P23</f>
        <v>379541.98857127025</v>
      </c>
      <c r="Q23" s="603">
        <f>(ReducedRandValuesOld!Q23*13.74%)+ReducedRandValuesOld!Q23</f>
        <v>403586.14819111454</v>
      </c>
      <c r="R23" s="603">
        <f>(ReducedRandValuesOld!R23*13.74%)+ReducedRandValuesOld!R23</f>
        <v>424297.82405319798</v>
      </c>
      <c r="S23" s="603">
        <f>(ReducedRandValuesOld!S23*13.74%)+ReducedRandValuesOld!S23</f>
        <v>434953.23775371903</v>
      </c>
      <c r="T23" s="603">
        <f>(ReducedRandValuesOld!T23*13.74%)+ReducedRandValuesOld!T23</f>
        <v>541112.66225938767</v>
      </c>
      <c r="U23" s="603">
        <f>(ReducedRandValuesOld!U23*13.74%)+ReducedRandValuesOld!U23</f>
        <v>1214824.9096040153</v>
      </c>
      <c r="V23" s="605">
        <f>SUM(L23:T23)</f>
        <v>4057230.8453832329</v>
      </c>
      <c r="W23" s="605">
        <f>U23+J23+K23</f>
        <v>3701697.1963875578</v>
      </c>
    </row>
    <row r="24" spans="1:26" x14ac:dyDescent="0.35">
      <c r="A24" s="312" t="s">
        <v>366</v>
      </c>
      <c r="B24" s="312" t="s">
        <v>360</v>
      </c>
      <c r="C24" s="312" t="s">
        <v>826</v>
      </c>
      <c r="D24" s="312" t="s">
        <v>829</v>
      </c>
      <c r="F24" s="245" t="s">
        <v>835</v>
      </c>
      <c r="I24" s="604">
        <f>SUM(J24:U24)</f>
        <v>10779037.795439269</v>
      </c>
      <c r="J24" s="603">
        <f>(ReducedRandValuesOld!J24*13.74%)+ReducedRandValuesOld!J24</f>
        <v>1454205.1689806783</v>
      </c>
      <c r="K24" s="603">
        <f>(ReducedRandValuesOld!K24*13.74%)+ReducedRandValuesOld!K24</f>
        <v>1407468.9208462448</v>
      </c>
      <c r="L24" s="603">
        <f>(ReducedRandValuesOld!L24*13.74%)+ReducedRandValuesOld!L24</f>
        <v>891109.42627521011</v>
      </c>
      <c r="M24" s="603">
        <f>(ReducedRandValuesOld!M24*13.74%)+ReducedRandValuesOld!M24</f>
        <v>794854.14852560405</v>
      </c>
      <c r="N24" s="603">
        <f>(ReducedRandValuesOld!N24*13.74%)+ReducedRandValuesOld!N24</f>
        <v>761867.48738268262</v>
      </c>
      <c r="O24" s="603">
        <f>(ReducedRandValuesOld!O24*13.74%)+ReducedRandValuesOld!O24</f>
        <v>609022.24462416256</v>
      </c>
      <c r="P24" s="603">
        <f>(ReducedRandValuesOld!P24*13.74%)+ReducedRandValuesOld!P24</f>
        <v>653775.34891287808</v>
      </c>
      <c r="Q24" s="603">
        <f>(ReducedRandValuesOld!Q24*13.74%)+ReducedRandValuesOld!Q24</f>
        <v>624853.38204217202</v>
      </c>
      <c r="R24" s="603">
        <f>(ReducedRandValuesOld!R24*13.74%)+ReducedRandValuesOld!R24</f>
        <v>660912.2956236836</v>
      </c>
      <c r="S24" s="603">
        <f>(ReducedRandValuesOld!S24*13.74%)+ReducedRandValuesOld!S24</f>
        <v>663660.34240172373</v>
      </c>
      <c r="T24" s="603">
        <f>(ReducedRandValuesOld!T24*13.74%)+ReducedRandValuesOld!T24</f>
        <v>785487.91782212048</v>
      </c>
      <c r="U24" s="603">
        <f>(ReducedRandValuesOld!U24*13.74%)+ReducedRandValuesOld!U24</f>
        <v>1471821.1120021092</v>
      </c>
      <c r="V24" s="605">
        <f>SUM(L24:T24)</f>
        <v>6445542.5936102364</v>
      </c>
      <c r="W24" s="605">
        <f>U24+J24+K24</f>
        <v>4333495.201829033</v>
      </c>
      <c r="Z24" s="245">
        <f>3578510707.1-'MSCOA - Tariff Structure'!Q6</f>
        <v>272273904.16000032</v>
      </c>
    </row>
    <row r="25" spans="1:26" x14ac:dyDescent="0.35">
      <c r="A25" s="312" t="s">
        <v>362</v>
      </c>
      <c r="B25" s="312" t="s">
        <v>356</v>
      </c>
      <c r="C25" s="312" t="s">
        <v>828</v>
      </c>
      <c r="D25" s="312" t="s">
        <v>831</v>
      </c>
      <c r="F25" s="245" t="s">
        <v>837</v>
      </c>
      <c r="I25" s="604">
        <f>SUM(J25:U25)</f>
        <v>9907739.1662123818</v>
      </c>
      <c r="J25" s="603">
        <f>(ReducedRandValuesOld!J25*13.74%)+ReducedRandValuesOld!J25</f>
        <v>1295401.6986276652</v>
      </c>
      <c r="K25" s="603">
        <f>(ReducedRandValuesOld!K25*13.74%)+ReducedRandValuesOld!K25</f>
        <v>1363646.51435236</v>
      </c>
      <c r="L25" s="603">
        <f>(ReducedRandValuesOld!L25*13.74%)+ReducedRandValuesOld!L25</f>
        <v>711921.9042021567</v>
      </c>
      <c r="M25" s="603">
        <f>(ReducedRandValuesOld!M25*13.74%)+ReducedRandValuesOld!M25</f>
        <v>719084.26895090181</v>
      </c>
      <c r="N25" s="603">
        <f>(ReducedRandValuesOld!N25*13.74%)+ReducedRandValuesOld!N25</f>
        <v>638844.93780035549</v>
      </c>
      <c r="O25" s="603">
        <f>(ReducedRandValuesOld!O25*13.74%)+ReducedRandValuesOld!O25</f>
        <v>622214.91219010879</v>
      </c>
      <c r="P25" s="603">
        <f>(ReducedRandValuesOld!P25*13.74%)+ReducedRandValuesOld!P25</f>
        <v>645028.86109722592</v>
      </c>
      <c r="Q25" s="603">
        <f>(ReducedRandValuesOld!Q25*13.74%)+ReducedRandValuesOld!Q25</f>
        <v>665946.14666758256</v>
      </c>
      <c r="R25" s="603">
        <f>(ReducedRandValuesOld!R25*13.74%)+ReducedRandValuesOld!R25</f>
        <v>644513.83198543626</v>
      </c>
      <c r="S25" s="603">
        <f>(ReducedRandValuesOld!S25*13.74%)+ReducedRandValuesOld!S25</f>
        <v>659520.12742768868</v>
      </c>
      <c r="T25" s="603">
        <f>(ReducedRandValuesOld!T25*13.74%)+ReducedRandValuesOld!T25</f>
        <v>703106.45857209526</v>
      </c>
      <c r="U25" s="603">
        <f>(ReducedRandValuesOld!U25*13.74%)+ReducedRandValuesOld!U25</f>
        <v>1238509.5043388039</v>
      </c>
      <c r="V25" s="605">
        <f>SUM(L25:T25)</f>
        <v>6010181.4488935517</v>
      </c>
      <c r="W25" s="605">
        <f>U25+J25+K25</f>
        <v>3897557.7173188291</v>
      </c>
      <c r="Z25" s="245">
        <f>Z24/2</f>
        <v>136136952.08000016</v>
      </c>
    </row>
    <row r="26" spans="1:26" x14ac:dyDescent="0.35">
      <c r="A26" s="247" t="s">
        <v>545</v>
      </c>
      <c r="I26" s="601">
        <f>+I27</f>
        <v>80344958.429231197</v>
      </c>
      <c r="J26" s="602"/>
      <c r="K26" s="602"/>
      <c r="L26" s="602"/>
      <c r="M26" s="602"/>
      <c r="N26" s="602"/>
      <c r="O26" s="602"/>
      <c r="P26" s="602"/>
      <c r="Q26" s="602"/>
      <c r="R26" s="602"/>
      <c r="S26" s="602"/>
      <c r="T26" s="602"/>
      <c r="U26" s="602"/>
      <c r="V26" s="603">
        <f>+V25+V24+V23+V22</f>
        <v>17629048.245404471</v>
      </c>
      <c r="W26" s="603">
        <f>+W25+W24+W23+W22</f>
        <v>12304781.234707903</v>
      </c>
      <c r="X26" s="245">
        <f>+V26+W26</f>
        <v>29933829.480112374</v>
      </c>
    </row>
    <row r="27" spans="1:26" x14ac:dyDescent="0.35">
      <c r="A27" s="309" t="s">
        <v>313</v>
      </c>
      <c r="B27" s="309" t="s">
        <v>311</v>
      </c>
      <c r="C27" s="309" t="s">
        <v>510</v>
      </c>
      <c r="D27" s="309" t="s">
        <v>514</v>
      </c>
      <c r="E27" s="245" t="s">
        <v>510</v>
      </c>
      <c r="F27" s="245" t="s">
        <v>514</v>
      </c>
      <c r="I27" s="604">
        <f>SUM(J27:U27)</f>
        <v>80344958.429231197</v>
      </c>
      <c r="J27" s="603">
        <f>(ReducedRandValuesOld!J27*13.74%)+ReducedRandValuesOld!J27</f>
        <v>6868080.6335306885</v>
      </c>
      <c r="K27" s="603">
        <f>(ReducedRandValuesOld!K27*13.74%)+ReducedRandValuesOld!K27</f>
        <v>6720142.158723304</v>
      </c>
      <c r="L27" s="603">
        <f>(ReducedRandValuesOld!L27*13.74%)+ReducedRandValuesOld!L27</f>
        <v>6209395.4145829314</v>
      </c>
      <c r="M27" s="603">
        <f>(ReducedRandValuesOld!M27*13.74%)+ReducedRandValuesOld!M27</f>
        <v>6609400.8196247471</v>
      </c>
      <c r="N27" s="603">
        <f>(ReducedRandValuesOld!N27*13.74%)+ReducedRandValuesOld!N27</f>
        <v>6455897.637417594</v>
      </c>
      <c r="O27" s="603">
        <f>(ReducedRandValuesOld!O27*13.74%)+ReducedRandValuesOld!O27</f>
        <v>6996711.2112045716</v>
      </c>
      <c r="P27" s="603">
        <f>(ReducedRandValuesOld!P27*13.74%)+ReducedRandValuesOld!P27</f>
        <v>6014194.2954158802</v>
      </c>
      <c r="Q27" s="603">
        <f>(ReducedRandValuesOld!Q27*13.74%)+ReducedRandValuesOld!Q27</f>
        <v>6421084.6362422761</v>
      </c>
      <c r="R27" s="603">
        <f>(ReducedRandValuesOld!R27*13.74%)+ReducedRandValuesOld!R27</f>
        <v>6409115.6364378007</v>
      </c>
      <c r="S27" s="603">
        <f>(ReducedRandValuesOld!S27*13.74%)+ReducedRandValuesOld!S27</f>
        <v>6657059.5260226205</v>
      </c>
      <c r="T27" s="603">
        <f>(ReducedRandValuesOld!T27*13.74%)+ReducedRandValuesOld!T27</f>
        <v>7229531.5205153041</v>
      </c>
      <c r="U27" s="603">
        <f>(ReducedRandValuesOld!U27*13.74%)+ReducedRandValuesOld!U27</f>
        <v>7754344.9395134803</v>
      </c>
      <c r="V27" s="609">
        <f>SUM(L27:T27)</f>
        <v>59002390.697463736</v>
      </c>
      <c r="W27" s="609">
        <f>U27+J27+K27</f>
        <v>21342567.731767476</v>
      </c>
    </row>
    <row r="28" spans="1:26" x14ac:dyDescent="0.35">
      <c r="A28" s="247" t="s">
        <v>546</v>
      </c>
      <c r="I28" s="601">
        <f>+I29</f>
        <v>25498581.145247158</v>
      </c>
      <c r="J28" s="602"/>
      <c r="K28" s="602"/>
      <c r="L28" s="602"/>
      <c r="M28" s="602"/>
      <c r="N28" s="602"/>
      <c r="O28" s="602"/>
      <c r="P28" s="602"/>
      <c r="Q28" s="602"/>
      <c r="R28" s="602"/>
      <c r="S28" s="602"/>
      <c r="T28" s="602"/>
      <c r="U28" s="602"/>
      <c r="V28" s="603">
        <f>+V27</f>
        <v>59002390.697463736</v>
      </c>
      <c r="W28" s="603">
        <f>+W27</f>
        <v>21342567.731767476</v>
      </c>
      <c r="X28" s="245">
        <f>+W28+V28</f>
        <v>80344958.429231212</v>
      </c>
    </row>
    <row r="29" spans="1:26" x14ac:dyDescent="0.35">
      <c r="A29" s="309" t="s">
        <v>313</v>
      </c>
      <c r="B29" s="309" t="s">
        <v>311</v>
      </c>
      <c r="C29" s="309" t="s">
        <v>510</v>
      </c>
      <c r="D29" s="309" t="s">
        <v>514</v>
      </c>
      <c r="E29" s="245" t="s">
        <v>510</v>
      </c>
      <c r="F29" s="245" t="s">
        <v>514</v>
      </c>
      <c r="I29" s="604">
        <f>SUM(J29:U29)</f>
        <v>25498581.145247158</v>
      </c>
      <c r="J29" s="603">
        <f>(ReducedRandValuesOld!J29*13.74%)+ReducedRandValuesOld!J29</f>
        <v>3201958.4246024364</v>
      </c>
      <c r="K29" s="603">
        <f>(ReducedRandValuesOld!K29*13.74%)+ReducedRandValuesOld!K29</f>
        <v>4319010.9935332797</v>
      </c>
      <c r="L29" s="603">
        <f>(ReducedRandValuesOld!L29*13.74%)+ReducedRandValuesOld!L29</f>
        <v>2769777.8928139317</v>
      </c>
      <c r="M29" s="603">
        <f>(ReducedRandValuesOld!M29*13.74%)+ReducedRandValuesOld!M29</f>
        <v>2068412.9102516882</v>
      </c>
      <c r="N29" s="603">
        <f>(ReducedRandValuesOld!N29*13.74%)+ReducedRandValuesOld!N29</f>
        <v>2204108.4417812461</v>
      </c>
      <c r="O29" s="603">
        <f>(ReducedRandValuesOld!O29*13.74%)+ReducedRandValuesOld!O29</f>
        <v>1697322.7885905718</v>
      </c>
      <c r="P29" s="603">
        <f>(ReducedRandValuesOld!P29*13.74%)+ReducedRandValuesOld!P29</f>
        <v>1654045.7279989501</v>
      </c>
      <c r="Q29" s="603">
        <f>(ReducedRandValuesOld!Q29*13.74%)+ReducedRandValuesOld!Q29</f>
        <v>1241340.1967229119</v>
      </c>
      <c r="R29" s="603">
        <f>(ReducedRandValuesOld!R29*13.74%)+ReducedRandValuesOld!R29</f>
        <v>952969.61706803984</v>
      </c>
      <c r="S29" s="603">
        <f>(ReducedRandValuesOld!S29*13.74%)+ReducedRandValuesOld!S29</f>
        <v>600259.91159534396</v>
      </c>
      <c r="T29" s="603">
        <f>(ReducedRandValuesOld!T29*13.74%)+ReducedRandValuesOld!T29</f>
        <v>393145.342894161</v>
      </c>
      <c r="U29" s="603">
        <f>(ReducedRandValuesOld!U29*13.74%)+ReducedRandValuesOld!U29</f>
        <v>4396228.8973945938</v>
      </c>
      <c r="V29" s="609">
        <f>SUM(L29:T29)</f>
        <v>13581382.829716844</v>
      </c>
      <c r="W29" s="609">
        <f>U29+J29+K29</f>
        <v>11917198.315530309</v>
      </c>
    </row>
    <row r="30" spans="1:26" x14ac:dyDescent="0.35">
      <c r="A30" s="247" t="s">
        <v>539</v>
      </c>
      <c r="I30" s="601">
        <f>SUM(I31:I34)</f>
        <v>454132.45342985436</v>
      </c>
      <c r="J30" s="602"/>
      <c r="K30" s="602"/>
      <c r="L30" s="602"/>
      <c r="M30" s="602"/>
      <c r="N30" s="602"/>
      <c r="O30" s="602"/>
      <c r="P30" s="602"/>
      <c r="Q30" s="602"/>
      <c r="R30" s="602"/>
      <c r="S30" s="602"/>
      <c r="T30" s="602"/>
      <c r="U30" s="602"/>
      <c r="V30" s="603">
        <f>+V29</f>
        <v>13581382.829716844</v>
      </c>
      <c r="W30" s="603">
        <f>+W29</f>
        <v>11917198.315530309</v>
      </c>
      <c r="X30" s="245">
        <f>+W30+V30</f>
        <v>25498581.145247154</v>
      </c>
    </row>
    <row r="31" spans="1:26" x14ac:dyDescent="0.35">
      <c r="A31" s="311" t="s">
        <v>401</v>
      </c>
      <c r="B31" s="311" t="s">
        <v>401</v>
      </c>
      <c r="C31" s="311" t="s">
        <v>875</v>
      </c>
      <c r="D31" s="311" t="s">
        <v>875</v>
      </c>
      <c r="E31" s="245" t="s">
        <v>876</v>
      </c>
      <c r="F31" s="245" t="s">
        <v>876</v>
      </c>
      <c r="I31" s="604">
        <f>SUM(J31:U31)</f>
        <v>205711.36659251398</v>
      </c>
      <c r="J31" s="603">
        <f>(ReducedRandValuesOld!J31*13.74%)+ReducedRandValuesOld!J31</f>
        <v>17142.613882709498</v>
      </c>
      <c r="K31" s="603">
        <f>(ReducedRandValuesOld!K31*13.74%)+ReducedRandValuesOld!K31</f>
        <v>17142.613882709498</v>
      </c>
      <c r="L31" s="603">
        <f>(ReducedRandValuesOld!L31*13.74%)+ReducedRandValuesOld!L31</f>
        <v>17142.613882709498</v>
      </c>
      <c r="M31" s="603">
        <f>(ReducedRandValuesOld!M31*13.74%)+ReducedRandValuesOld!M31</f>
        <v>17142.613882709498</v>
      </c>
      <c r="N31" s="603">
        <f>(ReducedRandValuesOld!N31*13.74%)+ReducedRandValuesOld!N31</f>
        <v>17142.613882709498</v>
      </c>
      <c r="O31" s="603">
        <f>(ReducedRandValuesOld!O31*13.74%)+ReducedRandValuesOld!O31</f>
        <v>17142.613882709498</v>
      </c>
      <c r="P31" s="603">
        <f>(ReducedRandValuesOld!P31*13.74%)+ReducedRandValuesOld!P31</f>
        <v>17142.613882709498</v>
      </c>
      <c r="Q31" s="603">
        <f>(ReducedRandValuesOld!Q31*13.74%)+ReducedRandValuesOld!Q31</f>
        <v>17142.613882709498</v>
      </c>
      <c r="R31" s="603">
        <f>(ReducedRandValuesOld!R31*13.74%)+ReducedRandValuesOld!R31</f>
        <v>17142.613882709498</v>
      </c>
      <c r="S31" s="603">
        <f>(ReducedRandValuesOld!S31*13.74%)+ReducedRandValuesOld!S31</f>
        <v>17142.613882709498</v>
      </c>
      <c r="T31" s="603">
        <f>(ReducedRandValuesOld!T31*13.74%)+ReducedRandValuesOld!T31</f>
        <v>17142.613882709498</v>
      </c>
      <c r="U31" s="603">
        <f>(ReducedRandValuesOld!U31*13.74%)+ReducedRandValuesOld!U31</f>
        <v>17142.613882709498</v>
      </c>
      <c r="V31" s="605">
        <f>SUM(L31:T31)</f>
        <v>154283.52494438548</v>
      </c>
      <c r="W31" s="605">
        <f>U31+J31+K31</f>
        <v>51427.841648128495</v>
      </c>
    </row>
    <row r="32" spans="1:26" x14ac:dyDescent="0.35">
      <c r="A32" s="311" t="s">
        <v>403</v>
      </c>
      <c r="B32" s="311" t="s">
        <v>411</v>
      </c>
      <c r="C32" s="311" t="s">
        <v>871</v>
      </c>
      <c r="D32" s="311" t="s">
        <v>874</v>
      </c>
      <c r="E32" s="245" t="s">
        <v>864</v>
      </c>
      <c r="F32" s="245" t="s">
        <v>867</v>
      </c>
      <c r="I32" s="604">
        <f>SUM(J32:U32)</f>
        <v>65694.45730586804</v>
      </c>
      <c r="J32" s="603">
        <f>(ReducedRandValuesOld!J32*13.74%)+ReducedRandValuesOld!J32</f>
        <v>6455.2237174425009</v>
      </c>
      <c r="K32" s="603">
        <f>(ReducedRandValuesOld!K32*13.74%)+ReducedRandValuesOld!K32</f>
        <v>6452.7163475774987</v>
      </c>
      <c r="L32" s="603">
        <f>(ReducedRandValuesOld!L32*13.74%)+ReducedRandValuesOld!L32</f>
        <v>8947.5484061303978</v>
      </c>
      <c r="M32" s="603">
        <f>(ReducedRandValuesOld!M32*13.74%)+ReducedRandValuesOld!M32</f>
        <v>5391.9594738965998</v>
      </c>
      <c r="N32" s="603">
        <f>(ReducedRandValuesOld!N32*13.74%)+ReducedRandValuesOld!N32</f>
        <v>4991.0199820733988</v>
      </c>
      <c r="O32" s="603">
        <f>(ReducedRandValuesOld!O32*13.74%)+ReducedRandValuesOld!O32</f>
        <v>4589.6575582967989</v>
      </c>
      <c r="P32" s="603">
        <f>(ReducedRandValuesOld!P32*13.74%)+ReducedRandValuesOld!P32</f>
        <v>4301.2179660779993</v>
      </c>
      <c r="Q32" s="603">
        <f>(ReducedRandValuesOld!Q32*13.74%)+ReducedRandValuesOld!Q32</f>
        <v>4091.8666491449999</v>
      </c>
      <c r="R32" s="603">
        <f>(ReducedRandValuesOld!R32*13.74%)+ReducedRandValuesOld!R32</f>
        <v>4058.8779567797997</v>
      </c>
      <c r="S32" s="603">
        <f>(ReducedRandValuesOld!S32*13.74%)+ReducedRandValuesOld!S32</f>
        <v>4244.9680162757995</v>
      </c>
      <c r="T32" s="603">
        <f>(ReducedRandValuesOld!T32*13.74%)+ReducedRandValuesOld!T32</f>
        <v>5060.3808224310005</v>
      </c>
      <c r="U32" s="603">
        <f>(ReducedRandValuesOld!U32*13.74%)+ReducedRandValuesOld!U32</f>
        <v>7109.0204097412498</v>
      </c>
      <c r="V32" s="605">
        <f>SUM(L32:T32)</f>
        <v>45677.496831106793</v>
      </c>
      <c r="W32" s="605">
        <f>U32+J32+K32</f>
        <v>20016.96047476125</v>
      </c>
    </row>
    <row r="33" spans="1:24" x14ac:dyDescent="0.35">
      <c r="A33" s="311" t="s">
        <v>405</v>
      </c>
      <c r="B33" s="311" t="s">
        <v>413</v>
      </c>
      <c r="C33" s="311" t="s">
        <v>870</v>
      </c>
      <c r="D33" s="311" t="s">
        <v>873</v>
      </c>
      <c r="E33" s="245" t="s">
        <v>863</v>
      </c>
      <c r="F33" s="245" t="s">
        <v>866</v>
      </c>
      <c r="I33" s="604">
        <f>SUM(J33:U33)</f>
        <v>93733.629357604485</v>
      </c>
      <c r="J33" s="603">
        <f>(ReducedRandValuesOld!J33*13.74%)+ReducedRandValuesOld!J33</f>
        <v>9605.4777051254987</v>
      </c>
      <c r="K33" s="603">
        <f>(ReducedRandValuesOld!K33*13.74%)+ReducedRandValuesOld!K33</f>
        <v>10177.337277211498</v>
      </c>
      <c r="L33" s="603">
        <f>(ReducedRandValuesOld!L33*13.74%)+ReducedRandValuesOld!L33</f>
        <v>11702.461094651248</v>
      </c>
      <c r="M33" s="603">
        <f>(ReducedRandValuesOld!M33*13.74%)+ReducedRandValuesOld!M33</f>
        <v>7744.2097783050003</v>
      </c>
      <c r="N33" s="603">
        <f>(ReducedRandValuesOld!N33*13.74%)+ReducedRandValuesOld!N33</f>
        <v>7202.7853838325</v>
      </c>
      <c r="O33" s="603">
        <f>(ReducedRandValuesOld!O33*13.74%)+ReducedRandValuesOld!O33</f>
        <v>6580.1709319499996</v>
      </c>
      <c r="P33" s="603">
        <f>(ReducedRandValuesOld!P33*13.74%)+ReducedRandValuesOld!P33</f>
        <v>6422.0391340875003</v>
      </c>
      <c r="Q33" s="603">
        <f>(ReducedRandValuesOld!Q33*13.74%)+ReducedRandValuesOld!Q33</f>
        <v>6148.0226903287494</v>
      </c>
      <c r="R33" s="603">
        <f>(ReducedRandValuesOld!R33*13.74%)+ReducedRandValuesOld!R33</f>
        <v>5985.1705402912494</v>
      </c>
      <c r="S33" s="603">
        <f>(ReducedRandValuesOld!S33*13.74%)+ReducedRandValuesOld!S33</f>
        <v>5733.8117869724983</v>
      </c>
      <c r="T33" s="603">
        <f>(ReducedRandValuesOld!T33*13.74%)+ReducedRandValuesOld!T33</f>
        <v>6139.0540211962507</v>
      </c>
      <c r="U33" s="603">
        <f>(ReducedRandValuesOld!U33*13.74%)+ReducedRandValuesOld!U33</f>
        <v>10293.089013652499</v>
      </c>
      <c r="V33" s="605">
        <f>SUM(L33:T33)</f>
        <v>63657.72536161499</v>
      </c>
      <c r="W33" s="605">
        <f>U33+J33+K33</f>
        <v>30075.903995989494</v>
      </c>
    </row>
    <row r="34" spans="1:24" x14ac:dyDescent="0.35">
      <c r="A34" s="311" t="s">
        <v>407</v>
      </c>
      <c r="B34" s="311" t="s">
        <v>409</v>
      </c>
      <c r="C34" s="311" t="s">
        <v>872</v>
      </c>
      <c r="D34" s="311" t="s">
        <v>869</v>
      </c>
      <c r="E34" s="245" t="s">
        <v>865</v>
      </c>
      <c r="F34" s="245" t="s">
        <v>868</v>
      </c>
      <c r="I34" s="604">
        <f>SUM(J34:U34)</f>
        <v>88993.000173867884</v>
      </c>
      <c r="J34" s="603">
        <f>(ReducedRandValuesOld!J34*13.74%)+ReducedRandValuesOld!J34</f>
        <v>8640.7864370272491</v>
      </c>
      <c r="K34" s="603">
        <f>(ReducedRandValuesOld!K34*13.74%)+ReducedRandValuesOld!K34</f>
        <v>10265.980096369802</v>
      </c>
      <c r="L34" s="603">
        <f>(ReducedRandValuesOld!L34*13.74%)+ReducedRandValuesOld!L34</f>
        <v>8740.0505851477501</v>
      </c>
      <c r="M34" s="603">
        <f>(ReducedRandValuesOld!M34*13.74%)+ReducedRandValuesOld!M34</f>
        <v>7439.9393140429502</v>
      </c>
      <c r="N34" s="603">
        <f>(ReducedRandValuesOld!N34*13.74%)+ReducedRandValuesOld!N34</f>
        <v>7352.9878021446011</v>
      </c>
      <c r="O34" s="603">
        <f>(ReducedRandValuesOld!O34*13.74%)+ReducedRandValuesOld!O34</f>
        <v>7835.9300785573487</v>
      </c>
      <c r="P34" s="603">
        <f>(ReducedRandValuesOld!P34*13.74%)+ReducedRandValuesOld!P34</f>
        <v>7214.3472302764503</v>
      </c>
      <c r="Q34" s="603">
        <f>(ReducedRandValuesOld!Q34*13.74%)+ReducedRandValuesOld!Q34</f>
        <v>5393.8410164248498</v>
      </c>
      <c r="R34" s="603">
        <f>(ReducedRandValuesOld!R34*13.74%)+ReducedRandValuesOld!R34</f>
        <v>5475.5360137500002</v>
      </c>
      <c r="S34" s="603">
        <f>(ReducedRandValuesOld!S34*13.74%)+ReducedRandValuesOld!S34</f>
        <v>5716.4595983549998</v>
      </c>
      <c r="T34" s="603">
        <f>(ReducedRandValuesOld!T34*13.74%)+ReducedRandValuesOld!T34</f>
        <v>6132.6003353999995</v>
      </c>
      <c r="U34" s="603">
        <f>(ReducedRandValuesOld!U34*13.74%)+ReducedRandValuesOld!U34</f>
        <v>8784.5416663718988</v>
      </c>
      <c r="V34" s="605">
        <f>SUM(L34:T34)</f>
        <v>61301.691974098954</v>
      </c>
      <c r="W34" s="605">
        <f>U34+J34+K34</f>
        <v>27691.308199768951</v>
      </c>
    </row>
    <row r="35" spans="1:24" x14ac:dyDescent="0.35">
      <c r="A35" s="247" t="s">
        <v>538</v>
      </c>
      <c r="B35" s="248"/>
      <c r="C35" s="248"/>
      <c r="D35" s="248"/>
      <c r="E35" s="248"/>
      <c r="F35" s="248"/>
      <c r="G35" s="248"/>
      <c r="H35" s="248"/>
      <c r="I35" s="601">
        <f>SUM(I36:I39)</f>
        <v>68116073.102491021</v>
      </c>
      <c r="J35" s="607"/>
      <c r="K35" s="607"/>
      <c r="L35" s="607"/>
      <c r="M35" s="607"/>
      <c r="N35" s="607"/>
      <c r="O35" s="607"/>
      <c r="P35" s="607"/>
      <c r="Q35" s="607"/>
      <c r="R35" s="607"/>
      <c r="S35" s="607"/>
      <c r="T35" s="607"/>
      <c r="U35" s="607"/>
      <c r="V35" s="603">
        <f>+V34+V33+V32+V31</f>
        <v>324920.43911120621</v>
      </c>
      <c r="W35" s="603">
        <f>+W34+W33+W32+W31</f>
        <v>129212.01431864819</v>
      </c>
      <c r="X35" s="245">
        <f>+W35+V35</f>
        <v>454132.45342985442</v>
      </c>
    </row>
    <row r="36" spans="1:24" x14ac:dyDescent="0.35">
      <c r="A36" s="311" t="s">
        <v>392</v>
      </c>
      <c r="B36" s="311" t="s">
        <v>392</v>
      </c>
      <c r="C36" s="311" t="s">
        <v>876</v>
      </c>
      <c r="D36" s="311" t="s">
        <v>876</v>
      </c>
      <c r="E36" s="245" t="s">
        <v>875</v>
      </c>
      <c r="F36" s="245" t="s">
        <v>875</v>
      </c>
      <c r="I36" s="604">
        <f>SUM(J36:U36)</f>
        <v>10103628.82954531</v>
      </c>
      <c r="J36" s="603">
        <f>(ReducedRandValuesOld!J36*13.74%)+ReducedRandValuesOld!J36</f>
        <v>841969.06912877562</v>
      </c>
      <c r="K36" s="603">
        <f>(ReducedRandValuesOld!K36*13.74%)+ReducedRandValuesOld!K36</f>
        <v>841969.06912877562</v>
      </c>
      <c r="L36" s="603">
        <f>(ReducedRandValuesOld!L36*13.74%)+ReducedRandValuesOld!L36</f>
        <v>841969.06912877562</v>
      </c>
      <c r="M36" s="603">
        <f>(ReducedRandValuesOld!M36*13.74%)+ReducedRandValuesOld!M36</f>
        <v>841969.06912877562</v>
      </c>
      <c r="N36" s="603">
        <f>(ReducedRandValuesOld!N36*13.74%)+ReducedRandValuesOld!N36</f>
        <v>841969.06912877562</v>
      </c>
      <c r="O36" s="603">
        <f>(ReducedRandValuesOld!O36*13.74%)+ReducedRandValuesOld!O36</f>
        <v>841969.06912877562</v>
      </c>
      <c r="P36" s="603">
        <f>(ReducedRandValuesOld!P36*13.74%)+ReducedRandValuesOld!P36</f>
        <v>841969.06912877562</v>
      </c>
      <c r="Q36" s="603">
        <f>(ReducedRandValuesOld!Q36*13.74%)+ReducedRandValuesOld!Q36</f>
        <v>841969.06912877562</v>
      </c>
      <c r="R36" s="603">
        <f>(ReducedRandValuesOld!R36*13.74%)+ReducedRandValuesOld!R36</f>
        <v>841969.06912877562</v>
      </c>
      <c r="S36" s="603">
        <f>(ReducedRandValuesOld!S36*13.74%)+ReducedRandValuesOld!S36</f>
        <v>841969.06912877562</v>
      </c>
      <c r="T36" s="603">
        <f>(ReducedRandValuesOld!T36*13.74%)+ReducedRandValuesOld!T36</f>
        <v>841969.06912877562</v>
      </c>
      <c r="U36" s="603">
        <f>(ReducedRandValuesOld!U36*13.74%)+ReducedRandValuesOld!U36</f>
        <v>841969.06912877562</v>
      </c>
      <c r="V36" s="605">
        <f>SUM(L36:T36)</f>
        <v>7577721.6221589819</v>
      </c>
      <c r="W36" s="605">
        <f>U36+J36+K36</f>
        <v>2525907.207386327</v>
      </c>
    </row>
    <row r="37" spans="1:24" x14ac:dyDescent="0.35">
      <c r="A37" s="311" t="s">
        <v>396</v>
      </c>
      <c r="B37" s="311" t="s">
        <v>388</v>
      </c>
      <c r="C37" s="311" t="s">
        <v>864</v>
      </c>
      <c r="D37" s="311" t="s">
        <v>867</v>
      </c>
      <c r="E37" s="245" t="s">
        <v>871</v>
      </c>
      <c r="F37" s="245" t="s">
        <v>874</v>
      </c>
      <c r="I37" s="604">
        <f>SUM(J37:U37)</f>
        <v>16137122.880807398</v>
      </c>
      <c r="J37" s="603">
        <f>(ReducedRandValuesOld!J37*13.74%)+ReducedRandValuesOld!J37</f>
        <v>1993846.4753767557</v>
      </c>
      <c r="K37" s="603">
        <f>(ReducedRandValuesOld!K37*13.74%)+ReducedRandValuesOld!K37</f>
        <v>1739181.9447202203</v>
      </c>
      <c r="L37" s="603">
        <f>(ReducedRandValuesOld!L37*13.74%)+ReducedRandValuesOld!L37</f>
        <v>1154141.1504884905</v>
      </c>
      <c r="M37" s="603">
        <f>(ReducedRandValuesOld!M37*13.74%)+ReducedRandValuesOld!M37</f>
        <v>1219978.1782012889</v>
      </c>
      <c r="N37" s="603">
        <f>(ReducedRandValuesOld!N37*13.74%)+ReducedRandValuesOld!N37</f>
        <v>1189875.1223586737</v>
      </c>
      <c r="O37" s="603">
        <f>(ReducedRandValuesOld!O37*13.74%)+ReducedRandValuesOld!O37</f>
        <v>1129984.010392335</v>
      </c>
      <c r="P37" s="603">
        <f>(ReducedRandValuesOld!P37*13.74%)+ReducedRandValuesOld!P37</f>
        <v>1004443.5961095807</v>
      </c>
      <c r="Q37" s="603">
        <f>(ReducedRandValuesOld!Q37*13.74%)+ReducedRandValuesOld!Q37</f>
        <v>1203048.5504522496</v>
      </c>
      <c r="R37" s="603">
        <f>(ReducedRandValuesOld!R37*13.74%)+ReducedRandValuesOld!R37</f>
        <v>1215456.7536648072</v>
      </c>
      <c r="S37" s="603">
        <f>(ReducedRandValuesOld!S37*13.74%)+ReducedRandValuesOld!S37</f>
        <v>1183633.1542448336</v>
      </c>
      <c r="T37" s="603">
        <f>(ReducedRandValuesOld!T37*13.74%)+ReducedRandValuesOld!T37</f>
        <v>1235772.31824184</v>
      </c>
      <c r="U37" s="603">
        <f>(ReducedRandValuesOld!U37*13.74%)+ReducedRandValuesOld!U37</f>
        <v>1867761.6265563252</v>
      </c>
      <c r="V37" s="605">
        <f>SUM(L37:T37)</f>
        <v>10536332.834154099</v>
      </c>
      <c r="W37" s="605">
        <f>U37+J37+K37</f>
        <v>5600790.0466533005</v>
      </c>
    </row>
    <row r="38" spans="1:24" x14ac:dyDescent="0.35">
      <c r="A38" s="311" t="s">
        <v>398</v>
      </c>
      <c r="B38" s="311" t="s">
        <v>390</v>
      </c>
      <c r="C38" s="311" t="s">
        <v>863</v>
      </c>
      <c r="D38" s="311" t="s">
        <v>866</v>
      </c>
      <c r="E38" s="245" t="s">
        <v>870</v>
      </c>
      <c r="F38" s="245" t="s">
        <v>873</v>
      </c>
      <c r="I38" s="604">
        <f>SUM(J38:U38)</f>
        <v>23781628.195809156</v>
      </c>
      <c r="J38" s="603">
        <f>(ReducedRandValuesOld!J38*13.74%)+ReducedRandValuesOld!J38</f>
        <v>2974690.2298905794</v>
      </c>
      <c r="K38" s="603">
        <f>(ReducedRandValuesOld!K38*13.74%)+ReducedRandValuesOld!K38</f>
        <v>2668378.3261662377</v>
      </c>
      <c r="L38" s="603">
        <f>(ReducedRandValuesOld!L38*13.74%)+ReducedRandValuesOld!L38</f>
        <v>1646425.7332367459</v>
      </c>
      <c r="M38" s="603">
        <f>(ReducedRandValuesOld!M38*13.74%)+ReducedRandValuesOld!M38</f>
        <v>1798874.0382664588</v>
      </c>
      <c r="N38" s="603">
        <f>(ReducedRandValuesOld!N38*13.74%)+ReducedRandValuesOld!N38</f>
        <v>1735767.9017909998</v>
      </c>
      <c r="O38" s="603">
        <f>(ReducedRandValuesOld!O38*13.74%)+ReducedRandValuesOld!O38</f>
        <v>1652321.8464660023</v>
      </c>
      <c r="P38" s="603">
        <f>(ReducedRandValuesOld!P38*13.74%)+ReducedRandValuesOld!P38</f>
        <v>1504686.3653103972</v>
      </c>
      <c r="Q38" s="603">
        <f>(ReducedRandValuesOld!Q38*13.74%)+ReducedRandValuesOld!Q38</f>
        <v>1761932.4992068799</v>
      </c>
      <c r="R38" s="603">
        <f>(ReducedRandValuesOld!R38*13.74%)+ReducedRandValuesOld!R38</f>
        <v>1599972.2125093243</v>
      </c>
      <c r="S38" s="603">
        <f>(ReducedRandValuesOld!S38*13.74%)+ReducedRandValuesOld!S38</f>
        <v>1643498.4855079558</v>
      </c>
      <c r="T38" s="603">
        <f>(ReducedRandValuesOld!T38*13.74%)+ReducedRandValuesOld!T38</f>
        <v>1814087.1983532372</v>
      </c>
      <c r="U38" s="603">
        <f>(ReducedRandValuesOld!U38*13.74%)+ReducedRandValuesOld!U38</f>
        <v>2980993.3591043353</v>
      </c>
      <c r="V38" s="605">
        <f>SUM(L38:T38)</f>
        <v>15157566.280648001</v>
      </c>
      <c r="W38" s="605">
        <f>U38+J38+K38</f>
        <v>8624061.9151611514</v>
      </c>
    </row>
    <row r="39" spans="1:24" x14ac:dyDescent="0.35">
      <c r="A39" s="311" t="s">
        <v>394</v>
      </c>
      <c r="B39" s="311" t="s">
        <v>386</v>
      </c>
      <c r="C39" s="311" t="s">
        <v>865</v>
      </c>
      <c r="D39" s="311" t="s">
        <v>868</v>
      </c>
      <c r="E39" s="245" t="s">
        <v>872</v>
      </c>
      <c r="F39" s="245" t="s">
        <v>869</v>
      </c>
      <c r="I39" s="604">
        <f>SUM(J39:U39)</f>
        <v>18093693.196329162</v>
      </c>
      <c r="J39" s="603">
        <f>(ReducedRandValuesOld!J39*13.74%)+ReducedRandValuesOld!J39</f>
        <v>1703343.8407421778</v>
      </c>
      <c r="K39" s="603">
        <f>(ReducedRandValuesOld!K39*13.74%)+ReducedRandValuesOld!K39</f>
        <v>1947748.6609393612</v>
      </c>
      <c r="L39" s="603">
        <f>(ReducedRandValuesOld!L39*13.74%)+ReducedRandValuesOld!L39</f>
        <v>1353779.2043913987</v>
      </c>
      <c r="M39" s="603">
        <f>(ReducedRandValuesOld!M39*13.74%)+ReducedRandValuesOld!M39</f>
        <v>1364563.9661383741</v>
      </c>
      <c r="N39" s="603">
        <f>(ReducedRandValuesOld!N39*13.74%)+ReducedRandValuesOld!N39</f>
        <v>1405666.4057577495</v>
      </c>
      <c r="O39" s="603">
        <f>(ReducedRandValuesOld!O39*13.74%)+ReducedRandValuesOld!O39</f>
        <v>1516362.5284747237</v>
      </c>
      <c r="P39" s="603">
        <f>(ReducedRandValuesOld!P39*13.74%)+ReducedRandValuesOld!P39</f>
        <v>1387321.3159115752</v>
      </c>
      <c r="Q39" s="603">
        <f>(ReducedRandValuesOld!Q39*13.74%)+ReducedRandValuesOld!Q39</f>
        <v>1336404.3211211432</v>
      </c>
      <c r="R39" s="603">
        <f>(ReducedRandValuesOld!R39*13.74%)+ReducedRandValuesOld!R39</f>
        <v>1304147.5150226902</v>
      </c>
      <c r="S39" s="603">
        <f>(ReducedRandValuesOld!S39*13.74%)+ReducedRandValuesOld!S39</f>
        <v>1431693.9792612318</v>
      </c>
      <c r="T39" s="603">
        <f>(ReducedRandValuesOld!T39*13.74%)+ReducedRandValuesOld!T39</f>
        <v>1400927.0738128347</v>
      </c>
      <c r="U39" s="603">
        <f>(ReducedRandValuesOld!U39*13.74%)+ReducedRandValuesOld!U39</f>
        <v>1941734.3847558983</v>
      </c>
      <c r="V39" s="605">
        <f>SUM(L39:T39)</f>
        <v>12500866.309891721</v>
      </c>
      <c r="W39" s="605">
        <f>U39+J39+K39</f>
        <v>5592826.8864374375</v>
      </c>
    </row>
    <row r="40" spans="1:24" s="330" customFormat="1" x14ac:dyDescent="0.35">
      <c r="A40" s="329" t="s">
        <v>254</v>
      </c>
      <c r="I40" s="601">
        <f>SUM(I41:I46)</f>
        <v>119234517.47395709</v>
      </c>
      <c r="J40" s="610"/>
      <c r="K40" s="610"/>
      <c r="L40" s="610"/>
      <c r="M40" s="610"/>
      <c r="N40" s="610"/>
      <c r="O40" s="610"/>
      <c r="P40" s="610"/>
      <c r="Q40" s="610"/>
      <c r="R40" s="610"/>
      <c r="S40" s="610"/>
      <c r="T40" s="610"/>
      <c r="U40" s="610"/>
      <c r="V40" s="611">
        <f>+V39+V38+V37+V36</f>
        <v>45772487.046852805</v>
      </c>
      <c r="W40" s="611">
        <f>+W39+W38+W37+W36</f>
        <v>22343586.055638216</v>
      </c>
      <c r="X40" s="330">
        <f>+W40+V40</f>
        <v>68116073.102491021</v>
      </c>
    </row>
    <row r="41" spans="1:24" x14ac:dyDescent="0.35">
      <c r="A41" s="311" t="s">
        <v>256</v>
      </c>
      <c r="B41" s="311" t="s">
        <v>256</v>
      </c>
      <c r="C41" s="311" t="s">
        <v>862</v>
      </c>
      <c r="D41" s="328" t="s">
        <v>1382</v>
      </c>
      <c r="E41" s="245" t="s">
        <v>862</v>
      </c>
      <c r="F41" s="245" t="s">
        <v>862</v>
      </c>
      <c r="I41" s="604">
        <f t="shared" ref="I41:I46" si="0">SUM(J41:U41)</f>
        <v>186453.05715744142</v>
      </c>
      <c r="J41" s="603">
        <f>(ReducedRandValuesOld!J41*13.74%)+ReducedRandValuesOld!J41</f>
        <v>15537.754763120123</v>
      </c>
      <c r="K41" s="603">
        <f>(ReducedRandValuesOld!K41*13.74%)+ReducedRandValuesOld!K41</f>
        <v>15537.754763120123</v>
      </c>
      <c r="L41" s="603">
        <f>(ReducedRandValuesOld!L41*13.74%)+ReducedRandValuesOld!L41</f>
        <v>15537.754763120123</v>
      </c>
      <c r="M41" s="603">
        <f>(ReducedRandValuesOld!M41*13.74%)+ReducedRandValuesOld!M41</f>
        <v>15537.754763120123</v>
      </c>
      <c r="N41" s="603">
        <f>(ReducedRandValuesOld!N41*13.74%)+ReducedRandValuesOld!N41</f>
        <v>15537.754763120123</v>
      </c>
      <c r="O41" s="603">
        <f>(ReducedRandValuesOld!O41*13.74%)+ReducedRandValuesOld!O41</f>
        <v>15537.754763120123</v>
      </c>
      <c r="P41" s="603">
        <f>(ReducedRandValuesOld!P41*13.74%)+ReducedRandValuesOld!P41</f>
        <v>15537.754763120123</v>
      </c>
      <c r="Q41" s="603">
        <f>(ReducedRandValuesOld!Q41*13.74%)+ReducedRandValuesOld!Q41</f>
        <v>15537.754763120123</v>
      </c>
      <c r="R41" s="603">
        <f>(ReducedRandValuesOld!R41*13.74%)+ReducedRandValuesOld!R41</f>
        <v>15537.754763120123</v>
      </c>
      <c r="S41" s="603">
        <f>(ReducedRandValuesOld!S41*13.74%)+ReducedRandValuesOld!S41</f>
        <v>15537.754763120123</v>
      </c>
      <c r="T41" s="603">
        <f>(ReducedRandValuesOld!T41*13.74%)+ReducedRandValuesOld!T41</f>
        <v>15537.754763120123</v>
      </c>
      <c r="U41" s="603">
        <f>(ReducedRandValuesOld!U41*13.74%)+ReducedRandValuesOld!U41</f>
        <v>15537.754763120123</v>
      </c>
      <c r="V41" s="605">
        <f t="shared" ref="V41:V46" si="1">SUM(L41:T41)</f>
        <v>139839.79286808107</v>
      </c>
      <c r="W41" s="605">
        <f t="shared" ref="W41:W46" si="2">U41+J41+K41</f>
        <v>46613.26428936037</v>
      </c>
    </row>
    <row r="42" spans="1:24" x14ac:dyDescent="0.35">
      <c r="A42" s="311" t="s">
        <v>256</v>
      </c>
      <c r="B42" s="311" t="s">
        <v>256</v>
      </c>
      <c r="C42" s="311" t="s">
        <v>862</v>
      </c>
      <c r="D42" s="311" t="s">
        <v>862</v>
      </c>
      <c r="E42" s="245" t="s">
        <v>862</v>
      </c>
      <c r="F42" s="245" t="s">
        <v>862</v>
      </c>
      <c r="I42" s="604">
        <f t="shared" si="0"/>
        <v>11936053.652432166</v>
      </c>
      <c r="J42" s="603">
        <f>(ReducedRandValuesOld!J42*13.74%)+ReducedRandValuesOld!J42</f>
        <v>867906.6998170783</v>
      </c>
      <c r="K42" s="603">
        <f>(ReducedRandValuesOld!K42*13.74%)+ReducedRandValuesOld!K42</f>
        <v>867906.6998170783</v>
      </c>
      <c r="L42" s="603">
        <f>(ReducedRandValuesOld!L42*13.74%)+ReducedRandValuesOld!L42</f>
        <v>1157207.2632449158</v>
      </c>
      <c r="M42" s="603">
        <f>(ReducedRandValuesOld!M42*13.74%)+ReducedRandValuesOld!M42</f>
        <v>1157207.2632449158</v>
      </c>
      <c r="N42" s="603">
        <f>(ReducedRandValuesOld!N42*13.74%)+ReducedRandValuesOld!N42</f>
        <v>1157207.2632449158</v>
      </c>
      <c r="O42" s="603">
        <f>(ReducedRandValuesOld!O42*13.74%)+ReducedRandValuesOld!O42</f>
        <v>1157207.2632449158</v>
      </c>
      <c r="P42" s="603">
        <f>(ReducedRandValuesOld!P42*13.74%)+ReducedRandValuesOld!P42</f>
        <v>1157207.2632449158</v>
      </c>
      <c r="Q42" s="603">
        <f>(ReducedRandValuesOld!Q42*13.74%)+ReducedRandValuesOld!Q42</f>
        <v>878054.3449769686</v>
      </c>
      <c r="R42" s="603">
        <f>(ReducedRandValuesOld!R42*13.74%)+ReducedRandValuesOld!R42</f>
        <v>846566.08682655729</v>
      </c>
      <c r="S42" s="603">
        <f>(ReducedRandValuesOld!S42*13.74%)+ReducedRandValuesOld!S42</f>
        <v>849496.66396257945</v>
      </c>
      <c r="T42" s="603">
        <f>(ReducedRandValuesOld!T42*13.74%)+ReducedRandValuesOld!T42</f>
        <v>883093.93574421352</v>
      </c>
      <c r="U42" s="603">
        <f>(ReducedRandValuesOld!U42*13.74%)+ReducedRandValuesOld!U42</f>
        <v>956992.90506311087</v>
      </c>
      <c r="V42" s="605">
        <f t="shared" si="1"/>
        <v>9243247.3477348983</v>
      </c>
      <c r="W42" s="605">
        <f t="shared" si="2"/>
        <v>2692806.3046972672</v>
      </c>
    </row>
    <row r="43" spans="1:24" x14ac:dyDescent="0.35">
      <c r="A43" s="311" t="s">
        <v>257</v>
      </c>
      <c r="B43" s="311" t="s">
        <v>257</v>
      </c>
      <c r="C43" s="311" t="s">
        <v>861</v>
      </c>
      <c r="D43" s="328" t="s">
        <v>1385</v>
      </c>
      <c r="E43" s="245" t="s">
        <v>861</v>
      </c>
      <c r="F43" s="245" t="s">
        <v>861</v>
      </c>
      <c r="I43" s="604">
        <f t="shared" si="0"/>
        <v>23944207.41565527</v>
      </c>
      <c r="J43" s="603">
        <f>(ReducedRandValuesOld!J43*13.74%)+ReducedRandValuesOld!J43</f>
        <v>2345085.6875892286</v>
      </c>
      <c r="K43" s="603">
        <f>(ReducedRandValuesOld!K43*13.74%)+ReducedRandValuesOld!K43</f>
        <v>2180340.7829645569</v>
      </c>
      <c r="L43" s="603">
        <f>(ReducedRandValuesOld!L43*13.74%)+ReducedRandValuesOld!L43</f>
        <v>2280657.3161828509</v>
      </c>
      <c r="M43" s="603">
        <f>(ReducedRandValuesOld!M43*13.74%)+ReducedRandValuesOld!M43</f>
        <v>1929765.8398986266</v>
      </c>
      <c r="N43" s="603">
        <f>(ReducedRandValuesOld!N43*13.74%)+ReducedRandValuesOld!N43</f>
        <v>1911956.7118832995</v>
      </c>
      <c r="O43" s="603">
        <f>(ReducedRandValuesOld!O43*13.74%)+ReducedRandValuesOld!O43</f>
        <v>1799373.4262614511</v>
      </c>
      <c r="P43" s="603">
        <f>(ReducedRandValuesOld!P43*13.74%)+ReducedRandValuesOld!P43</f>
        <v>1735275.4567597213</v>
      </c>
      <c r="Q43" s="603">
        <f>(ReducedRandValuesOld!Q43*13.74%)+ReducedRandValuesOld!Q43</f>
        <v>1703701.1339000412</v>
      </c>
      <c r="R43" s="603">
        <f>(ReducedRandValuesOld!R43*13.74%)+ReducedRandValuesOld!R43</f>
        <v>1686506.2742144822</v>
      </c>
      <c r="S43" s="603">
        <f>(ReducedRandValuesOld!S43*13.74%)+ReducedRandValuesOld!S43</f>
        <v>1688144.3230938641</v>
      </c>
      <c r="T43" s="603">
        <f>(ReducedRandValuesOld!T43*13.74%)+ReducedRandValuesOld!T43</f>
        <v>2170414.765181256</v>
      </c>
      <c r="U43" s="603">
        <f>(ReducedRandValuesOld!U43*13.74%)+ReducedRandValuesOld!U43</f>
        <v>2512985.6977258916</v>
      </c>
      <c r="V43" s="605">
        <f t="shared" si="1"/>
        <v>16905795.247375589</v>
      </c>
      <c r="W43" s="605">
        <f t="shared" si="2"/>
        <v>7038412.1682796776</v>
      </c>
    </row>
    <row r="44" spans="1:24" x14ac:dyDescent="0.35">
      <c r="A44" s="311" t="s">
        <v>435</v>
      </c>
      <c r="B44" s="311" t="s">
        <v>258</v>
      </c>
      <c r="C44" s="311" t="s">
        <v>857</v>
      </c>
      <c r="D44" s="311" t="s">
        <v>859</v>
      </c>
      <c r="E44" s="245" t="s">
        <v>857</v>
      </c>
      <c r="F44" s="245" t="s">
        <v>859</v>
      </c>
      <c r="I44" s="604">
        <f t="shared" si="0"/>
        <v>21974699.527596314</v>
      </c>
      <c r="J44" s="603">
        <f>(ReducedRandValuesOld!J44*13.74%)+ReducedRandValuesOld!J44</f>
        <v>3504953.267905809</v>
      </c>
      <c r="K44" s="603">
        <f>(ReducedRandValuesOld!K44*13.74%)+ReducedRandValuesOld!K44</f>
        <v>3215236.899392046</v>
      </c>
      <c r="L44" s="603">
        <f>(ReducedRandValuesOld!L44*13.74%)+ReducedRandValuesOld!L44</f>
        <v>1692360.2093466814</v>
      </c>
      <c r="M44" s="603">
        <f>(ReducedRandValuesOld!M44*13.74%)+ReducedRandValuesOld!M44</f>
        <v>1515974.1845183119</v>
      </c>
      <c r="N44" s="603">
        <f>(ReducedRandValuesOld!N44*13.74%)+ReducedRandValuesOld!N44</f>
        <v>1466731.0259439833</v>
      </c>
      <c r="O44" s="603">
        <f>(ReducedRandValuesOld!O44*13.74%)+ReducedRandValuesOld!O44</f>
        <v>1056279.8456513444</v>
      </c>
      <c r="P44" s="603">
        <f>(ReducedRandValuesOld!P44*13.74%)+ReducedRandValuesOld!P44</f>
        <v>1150757.6588174258</v>
      </c>
      <c r="Q44" s="603">
        <f>(ReducedRandValuesOld!Q44*13.74%)+ReducedRandValuesOld!Q44</f>
        <v>1107740.6011287561</v>
      </c>
      <c r="R44" s="603">
        <f>(ReducedRandValuesOld!R44*13.74%)+ReducedRandValuesOld!R44</f>
        <v>1082777.3672177352</v>
      </c>
      <c r="S44" s="603">
        <f>(ReducedRandValuesOld!S44*13.74%)+ReducedRandValuesOld!S44</f>
        <v>1196762.6414892785</v>
      </c>
      <c r="T44" s="603">
        <f>(ReducedRandValuesOld!T44*13.74%)+ReducedRandValuesOld!T44</f>
        <v>1585493.2008464097</v>
      </c>
      <c r="U44" s="603">
        <f>(ReducedRandValuesOld!U44*13.74%)+ReducedRandValuesOld!U44</f>
        <v>3399632.625338532</v>
      </c>
      <c r="V44" s="605">
        <f t="shared" si="1"/>
        <v>11854876.734959926</v>
      </c>
      <c r="W44" s="605">
        <f t="shared" si="2"/>
        <v>10119822.792636387</v>
      </c>
    </row>
    <row r="45" spans="1:24" x14ac:dyDescent="0.35">
      <c r="A45" s="311" t="s">
        <v>438</v>
      </c>
      <c r="B45" s="311" t="s">
        <v>259</v>
      </c>
      <c r="C45" s="311" t="s">
        <v>856</v>
      </c>
      <c r="D45" s="311" t="s">
        <v>858</v>
      </c>
      <c r="E45" s="245" t="s">
        <v>856</v>
      </c>
      <c r="F45" s="245" t="s">
        <v>858</v>
      </c>
      <c r="I45" s="604">
        <f t="shared" si="0"/>
        <v>30801337.887474388</v>
      </c>
      <c r="J45" s="603">
        <f>(ReducedRandValuesOld!J45*13.74%)+ReducedRandValuesOld!J45</f>
        <v>4252309.3152968073</v>
      </c>
      <c r="K45" s="603">
        <f>(ReducedRandValuesOld!K45*13.74%)+ReducedRandValuesOld!K45</f>
        <v>3930240.5030421373</v>
      </c>
      <c r="L45" s="603">
        <f>(ReducedRandValuesOld!L45*13.74%)+ReducedRandValuesOld!L45</f>
        <v>2456542.563190829</v>
      </c>
      <c r="M45" s="603">
        <f>(ReducedRandValuesOld!M45*13.74%)+ReducedRandValuesOld!M45</f>
        <v>2255745.5471390001</v>
      </c>
      <c r="N45" s="603">
        <f>(ReducedRandValuesOld!N45*13.74%)+ReducedRandValuesOld!N45</f>
        <v>2211001.2464958658</v>
      </c>
      <c r="O45" s="603">
        <f>(ReducedRandValuesOld!O45*13.74%)+ReducedRandValuesOld!O45</f>
        <v>1617407.4222226199</v>
      </c>
      <c r="P45" s="603">
        <f>(ReducedRandValuesOld!P45*13.74%)+ReducedRandValuesOld!P45</f>
        <v>1779560.5483320858</v>
      </c>
      <c r="Q45" s="603">
        <f>(ReducedRandValuesOld!Q45*13.74%)+ReducedRandValuesOld!Q45</f>
        <v>1728621.1927408217</v>
      </c>
      <c r="R45" s="603">
        <f>(ReducedRandValuesOld!R45*13.74%)+ReducedRandValuesOld!R45</f>
        <v>2018935.744373064</v>
      </c>
      <c r="S45" s="603">
        <f>(ReducedRandValuesOld!S45*13.74%)+ReducedRandValuesOld!S45</f>
        <v>1879095.9583482472</v>
      </c>
      <c r="T45" s="603">
        <f>(ReducedRandValuesOld!T45*13.74%)+ReducedRandValuesOld!T45</f>
        <v>2446162.8217485324</v>
      </c>
      <c r="U45" s="603">
        <f>(ReducedRandValuesOld!U45*13.74%)+ReducedRandValuesOld!U45</f>
        <v>4225715.0245443787</v>
      </c>
      <c r="V45" s="605">
        <f t="shared" si="1"/>
        <v>18393073.044591065</v>
      </c>
      <c r="W45" s="605">
        <f t="shared" si="2"/>
        <v>12408264.842883324</v>
      </c>
    </row>
    <row r="46" spans="1:24" x14ac:dyDescent="0.35">
      <c r="A46" s="311" t="s">
        <v>491</v>
      </c>
      <c r="B46" s="311" t="s">
        <v>260</v>
      </c>
      <c r="C46" s="311" t="s">
        <v>490</v>
      </c>
      <c r="D46" s="311" t="s">
        <v>860</v>
      </c>
      <c r="E46" s="245" t="s">
        <v>490</v>
      </c>
      <c r="F46" s="245" t="s">
        <v>860</v>
      </c>
      <c r="I46" s="604">
        <f t="shared" si="0"/>
        <v>30391765.933641508</v>
      </c>
      <c r="J46" s="603">
        <f>(ReducedRandValuesOld!J46*13.74%)+ReducedRandValuesOld!J46</f>
        <v>3996567.6824704222</v>
      </c>
      <c r="K46" s="603">
        <f>(ReducedRandValuesOld!K46*13.74%)+ReducedRandValuesOld!K46</f>
        <v>4159630.1650200272</v>
      </c>
      <c r="L46" s="603">
        <f>(ReducedRandValuesOld!L46*13.74%)+ReducedRandValuesOld!L46</f>
        <v>2353338.8236208204</v>
      </c>
      <c r="M46" s="603">
        <f>(ReducedRandValuesOld!M46*13.74%)+ReducedRandValuesOld!M46</f>
        <v>2300568.7101330985</v>
      </c>
      <c r="N46" s="603">
        <f>(ReducedRandValuesOld!N46*13.74%)+ReducedRandValuesOld!N46</f>
        <v>2027598.5527539293</v>
      </c>
      <c r="O46" s="603">
        <f>(ReducedRandValuesOld!O46*13.74%)+ReducedRandValuesOld!O46</f>
        <v>1929292.2214300516</v>
      </c>
      <c r="P46" s="603">
        <f>(ReducedRandValuesOld!P46*13.74%)+ReducedRandValuesOld!P46</f>
        <v>1899553.4263051173</v>
      </c>
      <c r="Q46" s="603">
        <f>(ReducedRandValuesOld!Q46*13.74%)+ReducedRandValuesOld!Q46</f>
        <v>1501845.3201135588</v>
      </c>
      <c r="R46" s="603">
        <f>(ReducedRandValuesOld!R46*13.74%)+ReducedRandValuesOld!R46</f>
        <v>1902049.2663031532</v>
      </c>
      <c r="S46" s="603">
        <f>(ReducedRandValuesOld!S46*13.74%)+ReducedRandValuesOld!S46</f>
        <v>1951920.9337629166</v>
      </c>
      <c r="T46" s="603">
        <f>(ReducedRandValuesOld!T46*13.74%)+ReducedRandValuesOld!T46</f>
        <v>2267465.8932724441</v>
      </c>
      <c r="U46" s="603">
        <f>(ReducedRandValuesOld!U46*13.74%)+ReducedRandValuesOld!U46</f>
        <v>4101934.93845597</v>
      </c>
      <c r="V46" s="605">
        <f t="shared" si="1"/>
        <v>18133633.147695091</v>
      </c>
      <c r="W46" s="605">
        <f t="shared" si="2"/>
        <v>12258132.785946419</v>
      </c>
    </row>
    <row r="47" spans="1:24" x14ac:dyDescent="0.35">
      <c r="A47" s="247" t="s">
        <v>261</v>
      </c>
      <c r="I47" s="601">
        <f>SUM(I48:I53)</f>
        <v>792286154.83265281</v>
      </c>
      <c r="J47" s="602"/>
      <c r="K47" s="602"/>
      <c r="L47" s="602"/>
      <c r="M47" s="602"/>
      <c r="N47" s="602"/>
      <c r="O47" s="602"/>
      <c r="P47" s="602"/>
      <c r="Q47" s="602"/>
      <c r="R47" s="602"/>
      <c r="S47" s="602"/>
      <c r="T47" s="602"/>
      <c r="U47" s="602"/>
      <c r="V47" s="603">
        <f>+V46+V45+V44+V43+V42+V41</f>
        <v>74670465.315224648</v>
      </c>
      <c r="W47" s="603">
        <f>+W46+W45+W44+W43+W42+W41</f>
        <v>44564052.158732429</v>
      </c>
      <c r="X47" s="245">
        <f>+W47+V47</f>
        <v>119234517.47395708</v>
      </c>
    </row>
    <row r="48" spans="1:24" x14ac:dyDescent="0.35">
      <c r="A48" s="311" t="s">
        <v>262</v>
      </c>
      <c r="B48" s="311" t="s">
        <v>262</v>
      </c>
      <c r="C48" s="311" t="s">
        <v>854</v>
      </c>
      <c r="D48" s="328" t="s">
        <v>1383</v>
      </c>
      <c r="E48" s="245" t="s">
        <v>854</v>
      </c>
      <c r="F48" s="245" t="s">
        <v>854</v>
      </c>
      <c r="I48" s="604">
        <f t="shared" ref="I48:I53" si="3">SUM(J48:U48)</f>
        <v>6795040.4895980544</v>
      </c>
      <c r="J48" s="603">
        <f>(ReducedRandValuesOld!J48*13.74%)+ReducedRandValuesOld!J48</f>
        <v>566253.37413317105</v>
      </c>
      <c r="K48" s="603">
        <f>(ReducedRandValuesOld!K48*13.74%)+ReducedRandValuesOld!K48</f>
        <v>566253.37413317105</v>
      </c>
      <c r="L48" s="603">
        <f>(ReducedRandValuesOld!L48*13.74%)+ReducedRandValuesOld!L48</f>
        <v>566253.37413317105</v>
      </c>
      <c r="M48" s="603">
        <f>(ReducedRandValuesOld!M48*13.74%)+ReducedRandValuesOld!M48</f>
        <v>566253.37413317105</v>
      </c>
      <c r="N48" s="603">
        <f>(ReducedRandValuesOld!N48*13.74%)+ReducedRandValuesOld!N48</f>
        <v>566253.37413317105</v>
      </c>
      <c r="O48" s="603">
        <f>(ReducedRandValuesOld!O48*13.74%)+ReducedRandValuesOld!O48</f>
        <v>566253.37413317105</v>
      </c>
      <c r="P48" s="603">
        <f>(ReducedRandValuesOld!P48*13.74%)+ReducedRandValuesOld!P48</f>
        <v>566253.37413317105</v>
      </c>
      <c r="Q48" s="603">
        <f>(ReducedRandValuesOld!Q48*13.74%)+ReducedRandValuesOld!Q48</f>
        <v>566253.37413317105</v>
      </c>
      <c r="R48" s="603">
        <f>(ReducedRandValuesOld!R48*13.74%)+ReducedRandValuesOld!R48</f>
        <v>566253.37413317105</v>
      </c>
      <c r="S48" s="603">
        <f>(ReducedRandValuesOld!S48*13.74%)+ReducedRandValuesOld!S48</f>
        <v>566253.37413317105</v>
      </c>
      <c r="T48" s="603">
        <f>(ReducedRandValuesOld!T48*13.74%)+ReducedRandValuesOld!T48</f>
        <v>566253.37413317105</v>
      </c>
      <c r="U48" s="603">
        <f>(ReducedRandValuesOld!U48*13.74%)+ReducedRandValuesOld!U48</f>
        <v>566253.37413317105</v>
      </c>
      <c r="V48" s="605">
        <f t="shared" ref="V48:V53" si="4">SUM(L48:T48)</f>
        <v>5096280.3671985399</v>
      </c>
      <c r="W48" s="605">
        <f t="shared" ref="W48:W53" si="5">U48+J48+K48</f>
        <v>1698760.1223995131</v>
      </c>
    </row>
    <row r="49" spans="1:24" x14ac:dyDescent="0.35">
      <c r="A49" s="311" t="s">
        <v>262</v>
      </c>
      <c r="B49" s="311" t="s">
        <v>262</v>
      </c>
      <c r="C49" s="311" t="s">
        <v>854</v>
      </c>
      <c r="D49" s="311" t="s">
        <v>854</v>
      </c>
      <c r="E49" s="245" t="s">
        <v>854</v>
      </c>
      <c r="F49" s="245" t="s">
        <v>854</v>
      </c>
      <c r="I49" s="604">
        <f t="shared" si="3"/>
        <v>75358400.732379988</v>
      </c>
      <c r="J49" s="603">
        <f>(ReducedRandValuesOld!J49*13.74%)+ReducedRandValuesOld!J49</f>
        <v>6323981.627921815</v>
      </c>
      <c r="K49" s="603">
        <f>(ReducedRandValuesOld!K49*13.74%)+ReducedRandValuesOld!K49</f>
        <v>6300085.671050813</v>
      </c>
      <c r="L49" s="603">
        <f>(ReducedRandValuesOld!L49*13.74%)+ReducedRandValuesOld!L49</f>
        <v>6258406.6765083652</v>
      </c>
      <c r="M49" s="603">
        <f>(ReducedRandValuesOld!M49*13.74%)+ReducedRandValuesOld!M49</f>
        <v>6269854.5070093572</v>
      </c>
      <c r="N49" s="603">
        <f>(ReducedRandValuesOld!N49*13.74%)+ReducedRandValuesOld!N49</f>
        <v>6299974.5270653665</v>
      </c>
      <c r="O49" s="603">
        <f>(ReducedRandValuesOld!O49*13.74%)+ReducedRandValuesOld!O49</f>
        <v>6228731.2323941421</v>
      </c>
      <c r="P49" s="603">
        <f>(ReducedRandValuesOld!P49*13.74%)+ReducedRandValuesOld!P49</f>
        <v>6208836.4589992147</v>
      </c>
      <c r="Q49" s="603">
        <f>(ReducedRandValuesOld!Q49*13.74%)+ReducedRandValuesOld!Q49</f>
        <v>6325982.2196598509</v>
      </c>
      <c r="R49" s="603">
        <f>(ReducedRandValuesOld!R49*13.74%)+ReducedRandValuesOld!R49</f>
        <v>6209169.8909555525</v>
      </c>
      <c r="S49" s="603">
        <f>(ReducedRandValuesOld!S49*13.74%)+ReducedRandValuesOld!S49</f>
        <v>6250626.5975271082</v>
      </c>
      <c r="T49" s="603">
        <f>(ReducedRandValuesOld!T49*13.74%)+ReducedRandValuesOld!T49</f>
        <v>6316757.2688677898</v>
      </c>
      <c r="U49" s="603">
        <f>(ReducedRandValuesOld!U49*13.74%)+ReducedRandValuesOld!U49</f>
        <v>6365994.0544206006</v>
      </c>
      <c r="V49" s="605">
        <f t="shared" si="4"/>
        <v>56368339.378986754</v>
      </c>
      <c r="W49" s="605">
        <f t="shared" si="5"/>
        <v>18990061.353393227</v>
      </c>
    </row>
    <row r="50" spans="1:24" x14ac:dyDescent="0.35">
      <c r="A50" s="311" t="s">
        <v>263</v>
      </c>
      <c r="B50" s="311" t="s">
        <v>263</v>
      </c>
      <c r="C50" s="311" t="s">
        <v>853</v>
      </c>
      <c r="D50" s="328" t="s">
        <v>1384</v>
      </c>
      <c r="E50" s="245" t="s">
        <v>853</v>
      </c>
      <c r="F50" s="245" t="s">
        <v>853</v>
      </c>
      <c r="I50" s="604">
        <f t="shared" si="3"/>
        <v>172239853.86123109</v>
      </c>
      <c r="J50" s="603">
        <f>(ReducedRandValuesOld!J50*13.74%)+ReducedRandValuesOld!J50</f>
        <v>14717725.309712624</v>
      </c>
      <c r="K50" s="603">
        <f>(ReducedRandValuesOld!K50*13.74%)+ReducedRandValuesOld!K50</f>
        <v>14333464.672681434</v>
      </c>
      <c r="L50" s="603">
        <f>(ReducedRandValuesOld!L50*13.74%)+ReducedRandValuesOld!L50</f>
        <v>14106648.346898504</v>
      </c>
      <c r="M50" s="603">
        <f>(ReducedRandValuesOld!M50*13.74%)+ReducedRandValuesOld!M50</f>
        <v>14105441.877080509</v>
      </c>
      <c r="N50" s="603">
        <f>(ReducedRandValuesOld!N50*13.74%)+ReducedRandValuesOld!N50</f>
        <v>14619096.402091587</v>
      </c>
      <c r="O50" s="603">
        <f>(ReducedRandValuesOld!O50*13.74%)+ReducedRandValuesOld!O50</f>
        <v>14269220.154873237</v>
      </c>
      <c r="P50" s="603">
        <f>(ReducedRandValuesOld!P50*13.74%)+ReducedRandValuesOld!P50</f>
        <v>14461652.090843331</v>
      </c>
      <c r="Q50" s="603">
        <f>(ReducedRandValuesOld!Q50*13.74%)+ReducedRandValuesOld!Q50</f>
        <v>14424251.526485506</v>
      </c>
      <c r="R50" s="603">
        <f>(ReducedRandValuesOld!R50*13.74%)+ReducedRandValuesOld!R50</f>
        <v>14336480.84722642</v>
      </c>
      <c r="S50" s="603">
        <f>(ReducedRandValuesOld!S50*13.74%)+ReducedRandValuesOld!S50</f>
        <v>14143144.058892833</v>
      </c>
      <c r="T50" s="603">
        <f>(ReducedRandValuesOld!T50*13.74%)+ReducedRandValuesOld!T50</f>
        <v>14084027.037811112</v>
      </c>
      <c r="U50" s="603">
        <f>(ReducedRandValuesOld!U50*13.74%)+ReducedRandValuesOld!U50</f>
        <v>14638701.536633996</v>
      </c>
      <c r="V50" s="605">
        <f>SUM(L50:T50)+30386170.36</f>
        <v>158936132.70220304</v>
      </c>
      <c r="W50" s="605">
        <f t="shared" si="5"/>
        <v>43689891.519028053</v>
      </c>
    </row>
    <row r="51" spans="1:24" x14ac:dyDescent="0.35">
      <c r="A51" s="311" t="s">
        <v>423</v>
      </c>
      <c r="B51" s="311" t="s">
        <v>264</v>
      </c>
      <c r="C51" s="311" t="s">
        <v>849</v>
      </c>
      <c r="D51" s="311" t="s">
        <v>852</v>
      </c>
      <c r="E51" s="245" t="s">
        <v>849</v>
      </c>
      <c r="F51" s="245" t="s">
        <v>852</v>
      </c>
      <c r="I51" s="604">
        <f t="shared" si="3"/>
        <v>139052470.99580687</v>
      </c>
      <c r="J51" s="603">
        <f>(ReducedRandValuesOld!J51*13.74%)+ReducedRandValuesOld!J51</f>
        <v>20073635.527200133</v>
      </c>
      <c r="K51" s="603">
        <f>(ReducedRandValuesOld!K51*13.74%)+ReducedRandValuesOld!K51</f>
        <v>19198870.526838843</v>
      </c>
      <c r="L51" s="603">
        <f>(ReducedRandValuesOld!L51*13.74%)+ReducedRandValuesOld!L51</f>
        <v>8994144.3203481603</v>
      </c>
      <c r="M51" s="603">
        <f>(ReducedRandValuesOld!M51*13.74%)+ReducedRandValuesOld!M51</f>
        <v>8839966.2299903966</v>
      </c>
      <c r="N51" s="603">
        <f>(ReducedRandValuesOld!N51*13.74%)+ReducedRandValuesOld!N51</f>
        <v>9295681.7369568106</v>
      </c>
      <c r="O51" s="603">
        <f>(ReducedRandValuesOld!O51*13.74%)+ReducedRandValuesOld!O51</f>
        <v>8528564.501920782</v>
      </c>
      <c r="P51" s="603">
        <f>(ReducedRandValuesOld!P51*13.74%)+ReducedRandValuesOld!P51</f>
        <v>8920913.1775848549</v>
      </c>
      <c r="Q51" s="603">
        <f>(ReducedRandValuesOld!Q51*13.74%)+ReducedRandValuesOld!Q51</f>
        <v>8966571.2958478928</v>
      </c>
      <c r="R51" s="603">
        <f>(ReducedRandValuesOld!R51*13.74%)+ReducedRandValuesOld!R51</f>
        <v>9460793.6873314008</v>
      </c>
      <c r="S51" s="603">
        <f>(ReducedRandValuesOld!S51*13.74%)+ReducedRandValuesOld!S51</f>
        <v>8296895.8936124323</v>
      </c>
      <c r="T51" s="603">
        <f>(ReducedRandValuesOld!T51*13.74%)+ReducedRandValuesOld!T51</f>
        <v>9096055.6742399409</v>
      </c>
      <c r="U51" s="603">
        <f>(ReducedRandValuesOld!U51*13.74%)+ReducedRandValuesOld!U51</f>
        <v>19380378.423935223</v>
      </c>
      <c r="V51" s="605">
        <f t="shared" si="4"/>
        <v>80399586.517832667</v>
      </c>
      <c r="W51" s="605">
        <f t="shared" si="5"/>
        <v>58652884.477974191</v>
      </c>
    </row>
    <row r="52" spans="1:24" x14ac:dyDescent="0.35">
      <c r="A52" s="311" t="s">
        <v>425</v>
      </c>
      <c r="B52" s="311" t="s">
        <v>265</v>
      </c>
      <c r="C52" s="311" t="s">
        <v>848</v>
      </c>
      <c r="D52" s="311" t="s">
        <v>851</v>
      </c>
      <c r="E52" s="245" t="s">
        <v>848</v>
      </c>
      <c r="F52" s="245" t="s">
        <v>851</v>
      </c>
      <c r="I52" s="604">
        <f t="shared" si="3"/>
        <v>209175270.24686483</v>
      </c>
      <c r="J52" s="603">
        <f>(ReducedRandValuesOld!J52*13.74%)+ReducedRandValuesOld!J52</f>
        <v>25315865.977940459</v>
      </c>
      <c r="K52" s="603">
        <f>(ReducedRandValuesOld!K52*13.74%)+ReducedRandValuesOld!K52</f>
        <v>24052035.470010936</v>
      </c>
      <c r="L52" s="603">
        <f>(ReducedRandValuesOld!L52*13.74%)+ReducedRandValuesOld!L52</f>
        <v>14898972.264076345</v>
      </c>
      <c r="M52" s="603">
        <f>(ReducedRandValuesOld!M52*13.74%)+ReducedRandValuesOld!M52</f>
        <v>14860681.470499674</v>
      </c>
      <c r="N52" s="603">
        <f>(ReducedRandValuesOld!N52*13.74%)+ReducedRandValuesOld!N52</f>
        <v>15460034.95276323</v>
      </c>
      <c r="O52" s="603">
        <f>(ReducedRandValuesOld!O52*13.74%)+ReducedRandValuesOld!O52</f>
        <v>14428485.788189381</v>
      </c>
      <c r="P52" s="603">
        <f>(ReducedRandValuesOld!P52*13.74%)+ReducedRandValuesOld!P52</f>
        <v>15191413.030730169</v>
      </c>
      <c r="Q52" s="603">
        <f>(ReducedRandValuesOld!Q52*13.74%)+ReducedRandValuesOld!Q52</f>
        <v>15100563.179998612</v>
      </c>
      <c r="R52" s="603">
        <f>(ReducedRandValuesOld!R52*13.74%)+ReducedRandValuesOld!R52</f>
        <v>16150044.887520945</v>
      </c>
      <c r="S52" s="603">
        <f>(ReducedRandValuesOld!S52*13.74%)+ReducedRandValuesOld!S52</f>
        <v>14199956.966711294</v>
      </c>
      <c r="T52" s="603">
        <f>(ReducedRandValuesOld!T52*13.74%)+ReducedRandValuesOld!T52</f>
        <v>15015943.221424926</v>
      </c>
      <c r="U52" s="603">
        <f>(ReducedRandValuesOld!U52*13.74%)+ReducedRandValuesOld!U52</f>
        <v>24501273.036998868</v>
      </c>
      <c r="V52" s="605">
        <f>SUM(L52:T52)+30386170.36</f>
        <v>165692266.12191457</v>
      </c>
      <c r="W52" s="605">
        <f t="shared" si="5"/>
        <v>73869174.484950259</v>
      </c>
    </row>
    <row r="53" spans="1:24" x14ac:dyDescent="0.35">
      <c r="A53" s="311" t="s">
        <v>421</v>
      </c>
      <c r="B53" s="311" t="s">
        <v>266</v>
      </c>
      <c r="C53" s="311" t="s">
        <v>850</v>
      </c>
      <c r="D53" s="311" t="s">
        <v>855</v>
      </c>
      <c r="E53" s="245" t="s">
        <v>850</v>
      </c>
      <c r="F53" s="245" t="s">
        <v>855</v>
      </c>
      <c r="I53" s="604">
        <f t="shared" si="3"/>
        <v>189665118.50677204</v>
      </c>
      <c r="J53" s="603">
        <f>(ReducedRandValuesOld!J53*13.74%)+ReducedRandValuesOld!J53</f>
        <v>22186800.900559582</v>
      </c>
      <c r="K53" s="603">
        <f>(ReducedRandValuesOld!K53*13.74%)+ReducedRandValuesOld!K53</f>
        <v>23255897.305325471</v>
      </c>
      <c r="L53" s="603">
        <f>(ReducedRandValuesOld!L53*13.74%)+ReducedRandValuesOld!L53</f>
        <v>13002940.032075461</v>
      </c>
      <c r="M53" s="603">
        <f>(ReducedRandValuesOld!M53*13.74%)+ReducedRandValuesOld!M53</f>
        <v>13708555.035839625</v>
      </c>
      <c r="N53" s="603">
        <f>(ReducedRandValuesOld!N53*13.74%)+ReducedRandValuesOld!N53</f>
        <v>13226773.928549236</v>
      </c>
      <c r="O53" s="603">
        <f>(ReducedRandValuesOld!O53*13.74%)+ReducedRandValuesOld!O53</f>
        <v>13947348.236239532</v>
      </c>
      <c r="P53" s="603">
        <f>(ReducedRandValuesOld!P53*13.74%)+ReducedRandValuesOld!P53</f>
        <v>14018483.921114787</v>
      </c>
      <c r="Q53" s="603">
        <f>(ReducedRandValuesOld!Q53*13.74%)+ReducedRandValuesOld!Q53</f>
        <v>12454588.388012549</v>
      </c>
      <c r="R53" s="603">
        <f>(ReducedRandValuesOld!R53*13.74%)+ReducedRandValuesOld!R53</f>
        <v>13364661.739222582</v>
      </c>
      <c r="S53" s="603">
        <f>(ReducedRandValuesOld!S53*13.74%)+ReducedRandValuesOld!S53</f>
        <v>14209969.54857422</v>
      </c>
      <c r="T53" s="603">
        <f>(ReducedRandValuesOld!T53*13.74%)+ReducedRandValuesOld!T53</f>
        <v>14121817.156113164</v>
      </c>
      <c r="U53" s="603">
        <f>(ReducedRandValuesOld!U53*13.74%)+ReducedRandValuesOld!U53</f>
        <v>22167282.315145835</v>
      </c>
      <c r="V53" s="605">
        <f t="shared" si="4"/>
        <v>122055137.98574115</v>
      </c>
      <c r="W53" s="605">
        <f t="shared" si="5"/>
        <v>67609980.521030888</v>
      </c>
    </row>
    <row r="54" spans="1:24" x14ac:dyDescent="0.35">
      <c r="A54" s="247" t="s">
        <v>267</v>
      </c>
      <c r="I54" s="601">
        <f>SUM(I55:I60)</f>
        <v>392516435.79542148</v>
      </c>
      <c r="J54" s="602"/>
      <c r="K54" s="602"/>
      <c r="L54" s="602"/>
      <c r="M54" s="602"/>
      <c r="N54" s="602"/>
      <c r="O54" s="602"/>
      <c r="P54" s="602"/>
      <c r="Q54" s="602"/>
      <c r="R54" s="602"/>
      <c r="S54" s="602"/>
      <c r="T54" s="602"/>
      <c r="U54" s="602"/>
      <c r="V54" s="603">
        <f>+V53+V52+V51+V50+V49+V48</f>
        <v>588547743.07387674</v>
      </c>
      <c r="W54" s="603">
        <f>+W53+W52+W51+W50+W49+W48</f>
        <v>264510752.47877613</v>
      </c>
      <c r="X54" s="245">
        <f>+W54+V54</f>
        <v>853058495.55265284</v>
      </c>
    </row>
    <row r="55" spans="1:24" x14ac:dyDescent="0.35">
      <c r="A55" s="311" t="s">
        <v>268</v>
      </c>
      <c r="B55" s="311" t="s">
        <v>268</v>
      </c>
      <c r="C55" s="311" t="s">
        <v>847</v>
      </c>
      <c r="D55" s="328" t="s">
        <v>1386</v>
      </c>
      <c r="E55" s="245" t="s">
        <v>847</v>
      </c>
      <c r="F55" s="245" t="s">
        <v>847</v>
      </c>
      <c r="I55" s="604">
        <f t="shared" ref="I55:I60" si="6">SUM(J55:U55)</f>
        <v>19934787.376543518</v>
      </c>
      <c r="J55" s="603">
        <f>(ReducedRandValuesOld!J55*13.74%)+ReducedRandValuesOld!J55</f>
        <v>1661232.2813786266</v>
      </c>
      <c r="K55" s="603">
        <f>(ReducedRandValuesOld!K55*13.74%)+ReducedRandValuesOld!K55</f>
        <v>1661232.2813786266</v>
      </c>
      <c r="L55" s="603">
        <f>(ReducedRandValuesOld!L55*13.74%)+ReducedRandValuesOld!L55</f>
        <v>1661232.2813786266</v>
      </c>
      <c r="M55" s="603">
        <f>(ReducedRandValuesOld!M55*13.74%)+ReducedRandValuesOld!M55</f>
        <v>1661232.2813786266</v>
      </c>
      <c r="N55" s="603">
        <f>(ReducedRandValuesOld!N55*13.74%)+ReducedRandValuesOld!N55</f>
        <v>1661232.2813786266</v>
      </c>
      <c r="O55" s="603">
        <f>(ReducedRandValuesOld!O55*13.74%)+ReducedRandValuesOld!O55</f>
        <v>1661232.2813786266</v>
      </c>
      <c r="P55" s="603">
        <f>(ReducedRandValuesOld!P55*13.74%)+ReducedRandValuesOld!P55</f>
        <v>1661232.2813786266</v>
      </c>
      <c r="Q55" s="603">
        <f>(ReducedRandValuesOld!Q55*13.74%)+ReducedRandValuesOld!Q55</f>
        <v>1661232.2813786266</v>
      </c>
      <c r="R55" s="603">
        <f>(ReducedRandValuesOld!R55*13.74%)+ReducedRandValuesOld!R55</f>
        <v>1661232.2813786266</v>
      </c>
      <c r="S55" s="603">
        <f>(ReducedRandValuesOld!S55*13.74%)+ReducedRandValuesOld!S55</f>
        <v>1661232.2813786266</v>
      </c>
      <c r="T55" s="603">
        <f>(ReducedRandValuesOld!T55*13.74%)+ReducedRandValuesOld!T55</f>
        <v>1661232.2813786266</v>
      </c>
      <c r="U55" s="603">
        <f>(ReducedRandValuesOld!U55*13.74%)+ReducedRandValuesOld!U55</f>
        <v>1661232.2813786266</v>
      </c>
      <c r="V55" s="605">
        <f t="shared" ref="V55:V60" si="7">SUM(L55:T55)</f>
        <v>14951090.53240764</v>
      </c>
      <c r="W55" s="605">
        <f t="shared" ref="W55:W60" si="8">U55+J55+K55</f>
        <v>4983696.8441358795</v>
      </c>
    </row>
    <row r="56" spans="1:24" x14ac:dyDescent="0.35">
      <c r="A56" s="311" t="s">
        <v>268</v>
      </c>
      <c r="B56" s="311" t="s">
        <v>268</v>
      </c>
      <c r="C56" s="311" t="s">
        <v>847</v>
      </c>
      <c r="D56" s="311" t="s">
        <v>847</v>
      </c>
      <c r="E56" s="245" t="s">
        <v>847</v>
      </c>
      <c r="F56" s="245" t="s">
        <v>847</v>
      </c>
      <c r="I56" s="604">
        <f t="shared" si="6"/>
        <v>43419071.362400733</v>
      </c>
      <c r="J56" s="603">
        <f>(ReducedRandValuesOld!J56*13.74%)+ReducedRandValuesOld!J56</f>
        <v>4216489.6448554527</v>
      </c>
      <c r="K56" s="603">
        <f>(ReducedRandValuesOld!K56*13.74%)+ReducedRandValuesOld!K56</f>
        <v>4070602.0225424916</v>
      </c>
      <c r="L56" s="603">
        <f>(ReducedRandValuesOld!L56*13.74%)+ReducedRandValuesOld!L56</f>
        <v>4508969.6606036657</v>
      </c>
      <c r="M56" s="603">
        <f>(ReducedRandValuesOld!M56*13.74%)+ReducedRandValuesOld!M56</f>
        <v>3357882.0121261794</v>
      </c>
      <c r="N56" s="603">
        <f>(ReducedRandValuesOld!N56*13.74%)+ReducedRandValuesOld!N56</f>
        <v>3486150.3563820226</v>
      </c>
      <c r="O56" s="603">
        <f>(ReducedRandValuesOld!O56*13.74%)+ReducedRandValuesOld!O56</f>
        <v>3349072.373097619</v>
      </c>
      <c r="P56" s="603">
        <f>(ReducedRandValuesOld!P56*13.74%)+ReducedRandValuesOld!P56</f>
        <v>3374444.1334998743</v>
      </c>
      <c r="Q56" s="603">
        <f>(ReducedRandValuesOld!Q56*13.74%)+ReducedRandValuesOld!Q56</f>
        <v>3450911.8002677807</v>
      </c>
      <c r="R56" s="603">
        <f>(ReducedRandValuesOld!R56*13.74%)+ReducedRandValuesOld!R56</f>
        <v>3358939.1688096067</v>
      </c>
      <c r="S56" s="603">
        <f>(ReducedRandValuesOld!S56*13.74%)+ReducedRandValuesOld!S56</f>
        <v>3395939.652729562</v>
      </c>
      <c r="T56" s="603">
        <f>(ReducedRandValuesOld!T56*13.74%)+ReducedRandValuesOld!T56</f>
        <v>3424130.497620956</v>
      </c>
      <c r="U56" s="603">
        <f>(ReducedRandValuesOld!U56*13.74%)+ReducedRandValuesOld!U56</f>
        <v>3425540.039865525</v>
      </c>
      <c r="V56" s="605">
        <f t="shared" si="7"/>
        <v>31706439.655137271</v>
      </c>
      <c r="W56" s="605">
        <f t="shared" si="8"/>
        <v>11712631.70726347</v>
      </c>
      <c r="X56" s="245" t="e">
        <f>+#REF!+#REF!</f>
        <v>#REF!</v>
      </c>
    </row>
    <row r="57" spans="1:24" x14ac:dyDescent="0.35">
      <c r="A57" s="311" t="s">
        <v>269</v>
      </c>
      <c r="B57" s="311" t="s">
        <v>269</v>
      </c>
      <c r="C57" s="311" t="s">
        <v>846</v>
      </c>
      <c r="D57" s="311" t="s">
        <v>846</v>
      </c>
      <c r="E57" s="245" t="s">
        <v>846</v>
      </c>
      <c r="F57" s="245" t="s">
        <v>846</v>
      </c>
      <c r="I57" s="604">
        <f t="shared" si="6"/>
        <v>86742494.959383354</v>
      </c>
      <c r="J57" s="603">
        <f>(ReducedRandValuesOld!J57*13.74%)+ReducedRandValuesOld!J57</f>
        <v>7903130.922293446</v>
      </c>
      <c r="K57" s="603">
        <f>(ReducedRandValuesOld!K57*13.74%)+ReducedRandValuesOld!K57</f>
        <v>8579258.9737252705</v>
      </c>
      <c r="L57" s="603">
        <f>(ReducedRandValuesOld!L57*13.74%)+ReducedRandValuesOld!L57</f>
        <v>8286737.3503830023</v>
      </c>
      <c r="M57" s="603">
        <f>(ReducedRandValuesOld!M57*13.74%)+ReducedRandValuesOld!M57</f>
        <v>6789043.5514694806</v>
      </c>
      <c r="N57" s="603">
        <f>(ReducedRandValuesOld!N57*13.74%)+ReducedRandValuesOld!N57</f>
        <v>7387175.3919586372</v>
      </c>
      <c r="O57" s="603">
        <f>(ReducedRandValuesOld!O57*13.74%)+ReducedRandValuesOld!O57</f>
        <v>6672383.1263823388</v>
      </c>
      <c r="P57" s="603">
        <f>(ReducedRandValuesOld!P57*13.74%)+ReducedRandValuesOld!P57</f>
        <v>6944261.2356955921</v>
      </c>
      <c r="Q57" s="603">
        <f>(ReducedRandValuesOld!Q57*13.74%)+ReducedRandValuesOld!Q57</f>
        <v>7178570.7335401056</v>
      </c>
      <c r="R57" s="603">
        <f>(ReducedRandValuesOld!R57*13.74%)+ReducedRandValuesOld!R57</f>
        <v>6658542.0589991193</v>
      </c>
      <c r="S57" s="603">
        <f>(ReducedRandValuesOld!S57*13.74%)+ReducedRandValuesOld!S57</f>
        <v>6423243.9134843769</v>
      </c>
      <c r="T57" s="603">
        <f>(ReducedRandValuesOld!T57*13.74%)+ReducedRandValuesOld!T57</f>
        <v>6757406.8260221202</v>
      </c>
      <c r="U57" s="603">
        <f>(ReducedRandValuesOld!U57*13.74%)+ReducedRandValuesOld!U57</f>
        <v>7162740.8754298724</v>
      </c>
      <c r="V57" s="605">
        <f t="shared" si="7"/>
        <v>63097364.187934771</v>
      </c>
      <c r="W57" s="605">
        <f t="shared" si="8"/>
        <v>23645130.77144859</v>
      </c>
    </row>
    <row r="58" spans="1:24" x14ac:dyDescent="0.35">
      <c r="A58" s="311" t="s">
        <v>337</v>
      </c>
      <c r="B58" s="311" t="s">
        <v>330</v>
      </c>
      <c r="C58" s="311" t="s">
        <v>841</v>
      </c>
      <c r="D58" s="311" t="s">
        <v>844</v>
      </c>
      <c r="E58" s="245" t="s">
        <v>841</v>
      </c>
      <c r="F58" s="245" t="s">
        <v>844</v>
      </c>
      <c r="I58" s="604">
        <f t="shared" si="6"/>
        <v>71721904.195051268</v>
      </c>
      <c r="J58" s="603">
        <f>(ReducedRandValuesOld!J58*13.74%)+ReducedRandValuesOld!J58</f>
        <v>9398571.206562927</v>
      </c>
      <c r="K58" s="603">
        <f>(ReducedRandValuesOld!K58*13.74%)+ReducedRandValuesOld!K58</f>
        <v>8731875.9048868548</v>
      </c>
      <c r="L58" s="603">
        <f>(ReducedRandValuesOld!L58*13.74%)+ReducedRandValuesOld!L58</f>
        <v>8441722.1167365499</v>
      </c>
      <c r="M58" s="603">
        <f>(ReducedRandValuesOld!M58*13.74%)+ReducedRandValuesOld!M58</f>
        <v>8398457.3204733226</v>
      </c>
      <c r="N58" s="603">
        <f>(ReducedRandValuesOld!N58*13.74%)+ReducedRandValuesOld!N58</f>
        <v>9616235.7102882713</v>
      </c>
      <c r="O58" s="603">
        <f>(ReducedRandValuesOld!O58*13.74%)+ReducedRandValuesOld!O58</f>
        <v>3150064.8551198272</v>
      </c>
      <c r="P58" s="603">
        <f>(ReducedRandValuesOld!P58*13.74%)+ReducedRandValuesOld!P58</f>
        <v>3449552.2570047257</v>
      </c>
      <c r="Q58" s="603">
        <f>(ReducedRandValuesOld!Q58*13.74%)+ReducedRandValuesOld!Q58</f>
        <v>3323933.0130768553</v>
      </c>
      <c r="R58" s="603">
        <f>(ReducedRandValuesOld!R58*13.74%)+ReducedRandValuesOld!R58</f>
        <v>3517298.8142938507</v>
      </c>
      <c r="S58" s="603">
        <f>(ReducedRandValuesOld!S58*13.74%)+ReducedRandValuesOld!S58</f>
        <v>3044703.5524959266</v>
      </c>
      <c r="T58" s="603">
        <f>(ReducedRandValuesOld!T58*13.74%)+ReducedRandValuesOld!T58</f>
        <v>3479223.8885640204</v>
      </c>
      <c r="U58" s="603">
        <f>(ReducedRandValuesOld!U58*13.74%)+ReducedRandValuesOld!U58</f>
        <v>7170265.5555481361</v>
      </c>
      <c r="V58" s="605">
        <f t="shared" si="7"/>
        <v>46421191.528053358</v>
      </c>
      <c r="W58" s="605">
        <f t="shared" si="8"/>
        <v>25300712.666997917</v>
      </c>
    </row>
    <row r="59" spans="1:24" x14ac:dyDescent="0.35">
      <c r="A59" s="311" t="s">
        <v>339</v>
      </c>
      <c r="B59" s="311" t="s">
        <v>332</v>
      </c>
      <c r="C59" s="311" t="s">
        <v>840</v>
      </c>
      <c r="D59" s="311" t="s">
        <v>843</v>
      </c>
      <c r="E59" s="245" t="s">
        <v>840</v>
      </c>
      <c r="F59" s="245" t="s">
        <v>843</v>
      </c>
      <c r="I59" s="604">
        <f t="shared" si="6"/>
        <v>93326396.079361051</v>
      </c>
      <c r="J59" s="603">
        <f>(ReducedRandValuesOld!J59*13.74%)+ReducedRandValuesOld!J59</f>
        <v>10104222.186362511</v>
      </c>
      <c r="K59" s="603">
        <f>(ReducedRandValuesOld!K59*13.74%)+ReducedRandValuesOld!K59</f>
        <v>10226585.457599463</v>
      </c>
      <c r="L59" s="603">
        <f>(ReducedRandValuesOld!L59*13.74%)+ReducedRandValuesOld!L59</f>
        <v>10048702.057020156</v>
      </c>
      <c r="M59" s="603">
        <f>(ReducedRandValuesOld!M59*13.74%)+ReducedRandValuesOld!M59</f>
        <v>8738111.738190975</v>
      </c>
      <c r="N59" s="603">
        <f>(ReducedRandValuesOld!N59*13.74%)+ReducedRandValuesOld!N59</f>
        <v>11076681.748423317</v>
      </c>
      <c r="O59" s="603">
        <f>(ReducedRandValuesOld!O59*13.74%)+ReducedRandValuesOld!O59</f>
        <v>5240122.8558573779</v>
      </c>
      <c r="P59" s="603">
        <f>(ReducedRandValuesOld!P59*13.74%)+ReducedRandValuesOld!P59</f>
        <v>5845005.3098724587</v>
      </c>
      <c r="Q59" s="603">
        <f>(ReducedRandValuesOld!Q59*13.74%)+ReducedRandValuesOld!Q59</f>
        <v>6571408.3670096546</v>
      </c>
      <c r="R59" s="603">
        <f>(ReducedRandValuesOld!R59*13.74%)+ReducedRandValuesOld!R59</f>
        <v>5966466.912863587</v>
      </c>
      <c r="S59" s="603">
        <f>(ReducedRandValuesOld!S59*13.74%)+ReducedRandValuesOld!S59</f>
        <v>5131464.2812903477</v>
      </c>
      <c r="T59" s="603">
        <f>(ReducedRandValuesOld!T59*13.74%)+ReducedRandValuesOld!T59</f>
        <v>5578291.9399623731</v>
      </c>
      <c r="U59" s="603">
        <f>(ReducedRandValuesOld!U59*13.74%)+ReducedRandValuesOld!U59</f>
        <v>8799333.2249088492</v>
      </c>
      <c r="V59" s="605">
        <f t="shared" si="7"/>
        <v>64196255.210490242</v>
      </c>
      <c r="W59" s="605">
        <f t="shared" si="8"/>
        <v>29130140.868870825</v>
      </c>
    </row>
    <row r="60" spans="1:24" x14ac:dyDescent="0.35">
      <c r="A60" s="311" t="s">
        <v>335</v>
      </c>
      <c r="B60" s="311" t="s">
        <v>328</v>
      </c>
      <c r="C60" s="311" t="s">
        <v>842</v>
      </c>
      <c r="D60" s="311" t="s">
        <v>845</v>
      </c>
      <c r="E60" s="245" t="s">
        <v>842</v>
      </c>
      <c r="F60" s="245" t="s">
        <v>845</v>
      </c>
      <c r="I60" s="604">
        <f t="shared" si="6"/>
        <v>77371781.822681546</v>
      </c>
      <c r="J60" s="603">
        <f>(ReducedRandValuesOld!J60*13.74%)+ReducedRandValuesOld!J60</f>
        <v>8789162.4241268113</v>
      </c>
      <c r="K60" s="603">
        <f>(ReducedRandValuesOld!K60*13.74%)+ReducedRandValuesOld!K60</f>
        <v>8764986.7286810596</v>
      </c>
      <c r="L60" s="603">
        <f>(ReducedRandValuesOld!L60*13.74%)+ReducedRandValuesOld!L60</f>
        <v>8587455.9241604116</v>
      </c>
      <c r="M60" s="603">
        <f>(ReducedRandValuesOld!M60*13.74%)+ReducedRandValuesOld!M60</f>
        <v>8645192.6537226364</v>
      </c>
      <c r="N60" s="603">
        <f>(ReducedRandValuesOld!N60*13.74%)+ReducedRandValuesOld!N60</f>
        <v>9179695.9572524186</v>
      </c>
      <c r="O60" s="603">
        <f>(ReducedRandValuesOld!O60*13.74%)+ReducedRandValuesOld!O60</f>
        <v>4629704.2321402635</v>
      </c>
      <c r="P60" s="603">
        <f>(ReducedRandValuesOld!P60*13.74%)+ReducedRandValuesOld!P60</f>
        <v>4790042.3158925176</v>
      </c>
      <c r="Q60" s="603">
        <f>(ReducedRandValuesOld!Q60*13.74%)+ReducedRandValuesOld!Q60</f>
        <v>4048910.6332902946</v>
      </c>
      <c r="R60" s="603">
        <f>(ReducedRandValuesOld!R60*13.74%)+ReducedRandValuesOld!R60</f>
        <v>4221264.2461700197</v>
      </c>
      <c r="S60" s="603">
        <f>(ReducedRandValuesOld!S60*13.74%)+ReducedRandValuesOld!S60</f>
        <v>4448649.9211667702</v>
      </c>
      <c r="T60" s="603">
        <f>(ReducedRandValuesOld!T60*13.74%)+ReducedRandValuesOld!T60</f>
        <v>4485840.5652776239</v>
      </c>
      <c r="U60" s="603">
        <f>(ReducedRandValuesOld!U60*13.74%)+ReducedRandValuesOld!U60</f>
        <v>6780876.2208007136</v>
      </c>
      <c r="V60" s="605">
        <f t="shared" si="7"/>
        <v>53036756.449072957</v>
      </c>
      <c r="W60" s="605">
        <f t="shared" si="8"/>
        <v>24335025.373608582</v>
      </c>
    </row>
    <row r="61" spans="1:24" x14ac:dyDescent="0.35">
      <c r="A61" s="247" t="s">
        <v>270</v>
      </c>
      <c r="I61" s="601">
        <f>SUM(I62:I66)</f>
        <v>65011616.042566627</v>
      </c>
      <c r="J61" s="602"/>
      <c r="K61" s="602"/>
      <c r="L61" s="602"/>
      <c r="M61" s="602"/>
      <c r="N61" s="602"/>
      <c r="O61" s="602"/>
      <c r="P61" s="602"/>
      <c r="Q61" s="602"/>
      <c r="R61" s="602"/>
      <c r="S61" s="602"/>
      <c r="T61" s="602"/>
      <c r="U61" s="602"/>
      <c r="V61" s="603">
        <f t="shared" ref="V61:W61" si="9">+V60+V59+V58+V57+V56+V55</f>
        <v>273409097.56309623</v>
      </c>
      <c r="W61" s="603">
        <f t="shared" si="9"/>
        <v>119107338.23232526</v>
      </c>
      <c r="X61" s="245">
        <f>+V61+W61</f>
        <v>392516435.79542148</v>
      </c>
    </row>
    <row r="62" spans="1:24" x14ac:dyDescent="0.35">
      <c r="A62" s="311" t="s">
        <v>520</v>
      </c>
      <c r="B62" s="311" t="s">
        <v>520</v>
      </c>
      <c r="C62" s="311" t="s">
        <v>519</v>
      </c>
      <c r="D62" s="328" t="s">
        <v>519</v>
      </c>
      <c r="E62" s="245" t="s">
        <v>519</v>
      </c>
      <c r="F62" s="245" t="s">
        <v>519</v>
      </c>
      <c r="I62" s="604">
        <f>SUM(J62:U62)</f>
        <v>1549185.0347278088</v>
      </c>
      <c r="J62" s="603">
        <f>(ReducedRandValuesOld!J62*13.74%)+ReducedRandValuesOld!J62</f>
        <v>129098.75289398404</v>
      </c>
      <c r="K62" s="603">
        <f>(ReducedRandValuesOld!K62*13.74%)+ReducedRandValuesOld!K62</f>
        <v>129098.75289398404</v>
      </c>
      <c r="L62" s="603">
        <f>(ReducedRandValuesOld!L62*13.74%)+ReducedRandValuesOld!L62</f>
        <v>129098.75289398404</v>
      </c>
      <c r="M62" s="603">
        <f>(ReducedRandValuesOld!M62*13.74%)+ReducedRandValuesOld!M62</f>
        <v>129098.75289398404</v>
      </c>
      <c r="N62" s="603">
        <f>(ReducedRandValuesOld!N62*13.74%)+ReducedRandValuesOld!N62</f>
        <v>129098.75289398404</v>
      </c>
      <c r="O62" s="603">
        <f>(ReducedRandValuesOld!O62*13.74%)+ReducedRandValuesOld!O62</f>
        <v>129098.75289398404</v>
      </c>
      <c r="P62" s="603">
        <f>(ReducedRandValuesOld!P62*13.74%)+ReducedRandValuesOld!P62</f>
        <v>129098.75289398404</v>
      </c>
      <c r="Q62" s="603">
        <f>(ReducedRandValuesOld!Q62*13.74%)+ReducedRandValuesOld!Q62</f>
        <v>129098.75289398404</v>
      </c>
      <c r="R62" s="603">
        <f>(ReducedRandValuesOld!R62*13.74%)+ReducedRandValuesOld!R62</f>
        <v>129098.75289398404</v>
      </c>
      <c r="S62" s="603">
        <f>(ReducedRandValuesOld!S62*13.74%)+ReducedRandValuesOld!S62</f>
        <v>129098.75289398404</v>
      </c>
      <c r="T62" s="603">
        <f>(ReducedRandValuesOld!T62*13.74%)+ReducedRandValuesOld!T62</f>
        <v>129098.75289398404</v>
      </c>
      <c r="U62" s="603">
        <f>(ReducedRandValuesOld!U62*13.74%)+ReducedRandValuesOld!U62</f>
        <v>129098.75289398404</v>
      </c>
      <c r="V62" s="605">
        <f>SUM(L62:T62)</f>
        <v>1161888.7760458565</v>
      </c>
      <c r="W62" s="605">
        <f>U62+J62+K62</f>
        <v>387296.25868195214</v>
      </c>
    </row>
    <row r="63" spans="1:24" x14ac:dyDescent="0.35">
      <c r="A63" s="311" t="s">
        <v>518</v>
      </c>
      <c r="B63" s="311" t="s">
        <v>518</v>
      </c>
      <c r="C63" s="311" t="s">
        <v>517</v>
      </c>
      <c r="D63" s="311" t="s">
        <v>517</v>
      </c>
      <c r="E63" s="245" t="s">
        <v>517</v>
      </c>
      <c r="F63" s="245" t="s">
        <v>517</v>
      </c>
      <c r="I63" s="604">
        <f>SUM(J63:U63)</f>
        <v>2336973.0675353142</v>
      </c>
      <c r="J63" s="603">
        <f>(ReducedRandValuesOld!J63*13.74%)+ReducedRandValuesOld!J63</f>
        <v>244742.1584962068</v>
      </c>
      <c r="K63" s="603">
        <f>(ReducedRandValuesOld!K63*13.74%)+ReducedRandValuesOld!K63</f>
        <v>220337.66975726877</v>
      </c>
      <c r="L63" s="603">
        <f>(ReducedRandValuesOld!L63*13.74%)+ReducedRandValuesOld!L63</f>
        <v>192259.38633302526</v>
      </c>
      <c r="M63" s="603">
        <f>(ReducedRandValuesOld!M63*13.74%)+ReducedRandValuesOld!M63</f>
        <v>170710.85665936739</v>
      </c>
      <c r="N63" s="603">
        <f>(ReducedRandValuesOld!N63*13.74%)+ReducedRandValuesOld!N63</f>
        <v>167098.67538459238</v>
      </c>
      <c r="O63" s="603">
        <f>(ReducedRandValuesOld!O63*13.74%)+ReducedRandValuesOld!O63</f>
        <v>140501.39579124894</v>
      </c>
      <c r="P63" s="603">
        <f>(ReducedRandValuesOld!P63*13.74%)+ReducedRandValuesOld!P63</f>
        <v>166648.50524871133</v>
      </c>
      <c r="Q63" s="603">
        <f>(ReducedRandValuesOld!Q63*13.74%)+ReducedRandValuesOld!Q63</f>
        <v>179445.26447745977</v>
      </c>
      <c r="R63" s="603">
        <f>(ReducedRandValuesOld!R63*13.74%)+ReducedRandValuesOld!R63</f>
        <v>176336.34774810795</v>
      </c>
      <c r="S63" s="603">
        <f>(ReducedRandValuesOld!S63*13.74%)+ReducedRandValuesOld!S63</f>
        <v>178247.4948593525</v>
      </c>
      <c r="T63" s="603">
        <f>(ReducedRandValuesOld!T63*13.74%)+ReducedRandValuesOld!T63</f>
        <v>226607.4431904314</v>
      </c>
      <c r="U63" s="603">
        <f>(ReducedRandValuesOld!U63*13.74%)+ReducedRandValuesOld!U63</f>
        <v>274037.86958954169</v>
      </c>
      <c r="V63" s="605">
        <f>SUM(L63:T63)</f>
        <v>1597855.369692297</v>
      </c>
      <c r="W63" s="605">
        <f>U63+J63+K63</f>
        <v>739117.69784301729</v>
      </c>
    </row>
    <row r="64" spans="1:24" x14ac:dyDescent="0.35">
      <c r="A64" s="311" t="s">
        <v>498</v>
      </c>
      <c r="B64" s="311" t="s">
        <v>503</v>
      </c>
      <c r="C64" s="311" t="s">
        <v>497</v>
      </c>
      <c r="D64" s="311" t="s">
        <v>502</v>
      </c>
      <c r="E64" s="245" t="s">
        <v>497</v>
      </c>
      <c r="F64" s="245" t="s">
        <v>502</v>
      </c>
      <c r="I64" s="604">
        <f>SUM(J64:U64)</f>
        <v>15948814.448302146</v>
      </c>
      <c r="J64" s="603">
        <f>(ReducedRandValuesOld!J64*13.74%)+ReducedRandValuesOld!J64</f>
        <v>2189598.9548053974</v>
      </c>
      <c r="K64" s="603">
        <f>(ReducedRandValuesOld!K64*13.74%)+ReducedRandValuesOld!K64</f>
        <v>2029057.3538656859</v>
      </c>
      <c r="L64" s="603">
        <f>(ReducedRandValuesOld!L64*13.74%)+ReducedRandValuesOld!L64</f>
        <v>1172022.3506046066</v>
      </c>
      <c r="M64" s="603">
        <f>(ReducedRandValuesOld!M64*13.74%)+ReducedRandValuesOld!M64</f>
        <v>1036745.261254946</v>
      </c>
      <c r="N64" s="603">
        <f>(ReducedRandValuesOld!N64*13.74%)+ReducedRandValuesOld!N64</f>
        <v>1009148.2924760634</v>
      </c>
      <c r="O64" s="603">
        <f>(ReducedRandValuesOld!O64*13.74%)+ReducedRandValuesOld!O64</f>
        <v>818302.24623396993</v>
      </c>
      <c r="P64" s="603">
        <f>(ReducedRandValuesOld!P64*13.74%)+ReducedRandValuesOld!P64</f>
        <v>936908.60932892724</v>
      </c>
      <c r="Q64" s="603">
        <f>(ReducedRandValuesOld!Q64*13.74%)+ReducedRandValuesOld!Q64</f>
        <v>971245.21502578154</v>
      </c>
      <c r="R64" s="603">
        <f>(ReducedRandValuesOld!R64*13.74%)+ReducedRandValuesOld!R64</f>
        <v>1126383.612227276</v>
      </c>
      <c r="S64" s="603">
        <f>(ReducedRandValuesOld!S64*13.74%)+ReducedRandValuesOld!S64</f>
        <v>1021318.7649442175</v>
      </c>
      <c r="T64" s="603">
        <f>(ReducedRandValuesOld!T64*13.74%)+ReducedRandValuesOld!T64</f>
        <v>1388309.6684527376</v>
      </c>
      <c r="U64" s="603">
        <f>(ReducedRandValuesOld!U64*13.74%)+ReducedRandValuesOld!U64</f>
        <v>2249774.1190825365</v>
      </c>
      <c r="V64" s="605">
        <f>SUM(L64:T64)</f>
        <v>9480384.0205485262</v>
      </c>
      <c r="W64" s="605">
        <f>U64+J64+K64</f>
        <v>6468430.4277536198</v>
      </c>
    </row>
    <row r="65" spans="1:24" x14ac:dyDescent="0.35">
      <c r="A65" s="311" t="s">
        <v>496</v>
      </c>
      <c r="B65" s="311" t="s">
        <v>501</v>
      </c>
      <c r="C65" s="311" t="s">
        <v>495</v>
      </c>
      <c r="D65" s="311" t="s">
        <v>500</v>
      </c>
      <c r="E65" s="245" t="s">
        <v>495</v>
      </c>
      <c r="F65" s="245" t="s">
        <v>500</v>
      </c>
      <c r="I65" s="604">
        <f>SUM(J65:U65)</f>
        <v>23264773.188026942</v>
      </c>
      <c r="J65" s="603">
        <f>(ReducedRandValuesOld!J65*13.74%)+ReducedRandValuesOld!J65</f>
        <v>3210330.7624649974</v>
      </c>
      <c r="K65" s="603">
        <f>(ReducedRandValuesOld!K65*13.74%)+ReducedRandValuesOld!K65</f>
        <v>293281.39455968933</v>
      </c>
      <c r="L65" s="603">
        <f>(ReducedRandValuesOld!L65*13.74%)+ReducedRandValuesOld!L65</f>
        <v>1930046.3359986744</v>
      </c>
      <c r="M65" s="603">
        <f>(ReducedRandValuesOld!M65*13.74%)+ReducedRandValuesOld!M65</f>
        <v>1765913.9235322655</v>
      </c>
      <c r="N65" s="603">
        <f>(ReducedRandValuesOld!N65*13.74%)+ReducedRandValuesOld!N65</f>
        <v>1746261.9479090164</v>
      </c>
      <c r="O65" s="603">
        <f>(ReducedRandValuesOld!O65*13.74%)+ReducedRandValuesOld!O65</f>
        <v>1477530.4402101536</v>
      </c>
      <c r="P65" s="603">
        <f>(ReducedRandValuesOld!P65*13.74%)+ReducedRandValuesOld!P65</f>
        <v>1716152.9190428762</v>
      </c>
      <c r="Q65" s="603">
        <f>(ReducedRandValuesOld!Q65*13.74%)+ReducedRandValuesOld!Q65</f>
        <v>1735138.6441827838</v>
      </c>
      <c r="R65" s="603">
        <f>(ReducedRandValuesOld!R65*13.74%)+ReducedRandValuesOld!R65</f>
        <v>1980651.4506254287</v>
      </c>
      <c r="S65" s="603">
        <f>(ReducedRandValuesOld!S65*13.74%)+ReducedRandValuesOld!S65</f>
        <v>1755860.8797308039</v>
      </c>
      <c r="T65" s="603">
        <f>(ReducedRandValuesOld!T65*13.74%)+ReducedRandValuesOld!T65</f>
        <v>2287202.5674160309</v>
      </c>
      <c r="U65" s="603">
        <f>(ReducedRandValuesOld!U65*13.74%)+ReducedRandValuesOld!U65</f>
        <v>3366401.9223542209</v>
      </c>
      <c r="V65" s="605">
        <f>SUM(L65:T65)</f>
        <v>16394759.108648034</v>
      </c>
      <c r="W65" s="605">
        <f>U65+J65+K65</f>
        <v>6870014.0793789066</v>
      </c>
    </row>
    <row r="66" spans="1:24" x14ac:dyDescent="0.35">
      <c r="A66" s="311" t="s">
        <v>492</v>
      </c>
      <c r="B66" s="311" t="s">
        <v>494</v>
      </c>
      <c r="C66" s="311" t="s">
        <v>499</v>
      </c>
      <c r="D66" s="311" t="s">
        <v>493</v>
      </c>
      <c r="E66" s="245" t="s">
        <v>499</v>
      </c>
      <c r="F66" s="245" t="s">
        <v>493</v>
      </c>
      <c r="I66" s="604">
        <f>SUM(J66:U66)</f>
        <v>21911870.303974424</v>
      </c>
      <c r="J66" s="603">
        <f>(ReducedRandValuesOld!J66*13.74%)+ReducedRandValuesOld!J66</f>
        <v>2706679.7878806568</v>
      </c>
      <c r="K66" s="603">
        <f>(ReducedRandValuesOld!K66*13.74%)+ReducedRandValuesOld!K66</f>
        <v>2789174.7936712303</v>
      </c>
      <c r="L66" s="603">
        <f>(ReducedRandValuesOld!L66*13.74%)+ReducedRandValuesOld!L66</f>
        <v>1471441.2337101116</v>
      </c>
      <c r="M66" s="603">
        <f>(ReducedRandValuesOld!M66*13.74%)+ReducedRandValuesOld!M66</f>
        <v>1487075.4659278442</v>
      </c>
      <c r="N66" s="603">
        <f>(ReducedRandValuesOld!N66*13.74%)+ReducedRandValuesOld!N66</f>
        <v>1350700.8350928507</v>
      </c>
      <c r="O66" s="603">
        <f>(ReducedRandValuesOld!O66*13.74%)+ReducedRandValuesOld!O66</f>
        <v>1372945.0176756787</v>
      </c>
      <c r="P66" s="603">
        <f>(ReducedRandValuesOld!P66*13.74%)+ReducedRandValuesOld!P66</f>
        <v>1514870.1808079446</v>
      </c>
      <c r="Q66" s="603">
        <f>(ReducedRandValuesOld!Q66*13.74%)+ReducedRandValuesOld!Q66</f>
        <v>1370642.3816520709</v>
      </c>
      <c r="R66" s="603">
        <f>(ReducedRandValuesOld!R66*13.74%)+ReducedRandValuesOld!R66</f>
        <v>1516455.3049732125</v>
      </c>
      <c r="S66" s="603">
        <f>(ReducedRandValuesOld!S66*13.74%)+ReducedRandValuesOld!S66</f>
        <v>1614606.662551943</v>
      </c>
      <c r="T66" s="603">
        <f>(ReducedRandValuesOld!T66*13.74%)+ReducedRandValuesOld!T66</f>
        <v>1877125.4241805319</v>
      </c>
      <c r="U66" s="603">
        <f>(ReducedRandValuesOld!U66*13.74%)+ReducedRandValuesOld!U66</f>
        <v>2840153.2158503504</v>
      </c>
      <c r="V66" s="605">
        <f>SUM(L66:T66)</f>
        <v>13575862.506572189</v>
      </c>
      <c r="W66" s="605">
        <f>U66+J66+K66</f>
        <v>8336007.7974022366</v>
      </c>
    </row>
    <row r="67" spans="1:24" x14ac:dyDescent="0.35">
      <c r="A67" s="247" t="s">
        <v>271</v>
      </c>
      <c r="I67" s="601">
        <f>SUM(I68:I72)</f>
        <v>87352822.812565148</v>
      </c>
      <c r="J67" s="602"/>
      <c r="K67" s="602"/>
      <c r="L67" s="602"/>
      <c r="M67" s="602"/>
      <c r="N67" s="602"/>
      <c r="O67" s="602"/>
      <c r="P67" s="602"/>
      <c r="Q67" s="602"/>
      <c r="R67" s="602"/>
      <c r="S67" s="602"/>
      <c r="T67" s="602"/>
      <c r="U67" s="602"/>
      <c r="V67" s="603">
        <f>+V66+V65+V64+V63+V62</f>
        <v>42210749.781506903</v>
      </c>
      <c r="W67" s="603">
        <f>+W66+W65+W64+W63+W62</f>
        <v>22800866.261059735</v>
      </c>
      <c r="X67" s="245">
        <f>+V67+W67</f>
        <v>65011616.042566642</v>
      </c>
    </row>
    <row r="68" spans="1:24" x14ac:dyDescent="0.35">
      <c r="A68" s="311" t="s">
        <v>342</v>
      </c>
      <c r="B68" s="311" t="s">
        <v>342</v>
      </c>
      <c r="C68" s="311" t="s">
        <v>1062</v>
      </c>
      <c r="D68" s="328" t="s">
        <v>1387</v>
      </c>
      <c r="E68" s="245" t="s">
        <v>1062</v>
      </c>
      <c r="F68" s="245" t="s">
        <v>1062</v>
      </c>
      <c r="I68" s="604">
        <f>SUM(J68:U68)</f>
        <v>8175395.2444873461</v>
      </c>
      <c r="J68" s="603">
        <f>(ReducedRandValuesOld!J68*13.74%)+ReducedRandValuesOld!J68</f>
        <v>681282.93704061233</v>
      </c>
      <c r="K68" s="603">
        <f>(ReducedRandValuesOld!K68*13.74%)+ReducedRandValuesOld!K68</f>
        <v>681282.93704061233</v>
      </c>
      <c r="L68" s="603">
        <f>(ReducedRandValuesOld!L68*13.74%)+ReducedRandValuesOld!L68</f>
        <v>681282.93704061233</v>
      </c>
      <c r="M68" s="603">
        <f>(ReducedRandValuesOld!M68*13.74%)+ReducedRandValuesOld!M68</f>
        <v>681282.93704061233</v>
      </c>
      <c r="N68" s="603">
        <f>(ReducedRandValuesOld!N68*13.74%)+ReducedRandValuesOld!N68</f>
        <v>681282.93704061233</v>
      </c>
      <c r="O68" s="603">
        <f>(ReducedRandValuesOld!O68*13.74%)+ReducedRandValuesOld!O68</f>
        <v>681282.93704061233</v>
      </c>
      <c r="P68" s="603">
        <f>(ReducedRandValuesOld!P68*13.74%)+ReducedRandValuesOld!P68</f>
        <v>681282.93704061233</v>
      </c>
      <c r="Q68" s="603">
        <f>(ReducedRandValuesOld!Q68*13.74%)+ReducedRandValuesOld!Q68</f>
        <v>681282.93704061233</v>
      </c>
      <c r="R68" s="603">
        <f>(ReducedRandValuesOld!R68*13.74%)+ReducedRandValuesOld!R68</f>
        <v>681282.93704061233</v>
      </c>
      <c r="S68" s="603">
        <f>(ReducedRandValuesOld!S68*13.74%)+ReducedRandValuesOld!S68</f>
        <v>681282.93704061233</v>
      </c>
      <c r="T68" s="603">
        <f>(ReducedRandValuesOld!T68*13.74%)+ReducedRandValuesOld!T68</f>
        <v>681282.93704061233</v>
      </c>
      <c r="U68" s="603">
        <f>(ReducedRandValuesOld!U68*13.74%)+ReducedRandValuesOld!U68</f>
        <v>681282.93704061233</v>
      </c>
      <c r="V68" s="605">
        <f>SUM(L68:T68)</f>
        <v>6131546.4333655098</v>
      </c>
      <c r="W68" s="605">
        <f>U68+J68+K68</f>
        <v>2043848.811121837</v>
      </c>
    </row>
    <row r="69" spans="1:24" x14ac:dyDescent="0.35">
      <c r="A69" s="311" t="s">
        <v>272</v>
      </c>
      <c r="B69" s="311" t="s">
        <v>272</v>
      </c>
      <c r="C69" s="311" t="s">
        <v>1063</v>
      </c>
      <c r="D69" s="311" t="s">
        <v>1063</v>
      </c>
      <c r="E69" s="245" t="s">
        <v>1063</v>
      </c>
      <c r="F69" s="245" t="s">
        <v>1063</v>
      </c>
      <c r="I69" s="604">
        <f>SUM(J69:U69)</f>
        <v>2414233.2635135329</v>
      </c>
      <c r="J69" s="603">
        <f>(ReducedRandValuesOld!J69*13.74%)+ReducedRandValuesOld!J69</f>
        <v>252495.63284905956</v>
      </c>
      <c r="K69" s="603">
        <f>(ReducedRandValuesOld!K69*13.74%)+ReducedRandValuesOld!K69</f>
        <v>237306.9149827068</v>
      </c>
      <c r="L69" s="603">
        <f>(ReducedRandValuesOld!L69*13.74%)+ReducedRandValuesOld!L69</f>
        <v>217581.74377131497</v>
      </c>
      <c r="M69" s="603">
        <f>(ReducedRandValuesOld!M69*13.74%)+ReducedRandValuesOld!M69</f>
        <v>194697.85689745154</v>
      </c>
      <c r="N69" s="603">
        <f>(ReducedRandValuesOld!N69*13.74%)+ReducedRandValuesOld!N69</f>
        <v>185994.58714659899</v>
      </c>
      <c r="O69" s="603">
        <f>(ReducedRandValuesOld!O69*13.74%)+ReducedRandValuesOld!O69</f>
        <v>158238.2133465826</v>
      </c>
      <c r="P69" s="603">
        <f>(ReducedRandValuesOld!P69*13.74%)+ReducedRandValuesOld!P69</f>
        <v>170100.19875990678</v>
      </c>
      <c r="Q69" s="603">
        <f>(ReducedRandValuesOld!Q69*13.74%)+ReducedRandValuesOld!Q69</f>
        <v>165093.29840130819</v>
      </c>
      <c r="R69" s="603">
        <f>(ReducedRandValuesOld!R69*13.74%)+ReducedRandValuesOld!R69</f>
        <v>174233.41180760899</v>
      </c>
      <c r="S69" s="603">
        <f>(ReducedRandValuesOld!S69*13.74%)+ReducedRandValuesOld!S69</f>
        <v>179105.89873376198</v>
      </c>
      <c r="T69" s="603">
        <f>(ReducedRandValuesOld!T69*13.74%)+ReducedRandValuesOld!T69</f>
        <v>228435.62844129716</v>
      </c>
      <c r="U69" s="603">
        <f>(ReducedRandValuesOld!U69*13.74%)+ReducedRandValuesOld!U69</f>
        <v>250949.87837593519</v>
      </c>
      <c r="V69" s="605">
        <f>SUM(L69:T69)</f>
        <v>1673480.8373058315</v>
      </c>
      <c r="W69" s="605">
        <f>U69+J69+K69</f>
        <v>740752.42620770156</v>
      </c>
    </row>
    <row r="70" spans="1:24" x14ac:dyDescent="0.35">
      <c r="A70" s="311" t="s">
        <v>349</v>
      </c>
      <c r="B70" s="311" t="s">
        <v>345</v>
      </c>
      <c r="C70" s="311" t="s">
        <v>878</v>
      </c>
      <c r="D70" s="311" t="s">
        <v>881</v>
      </c>
      <c r="E70" s="245" t="s">
        <v>878</v>
      </c>
      <c r="F70" s="245" t="s">
        <v>881</v>
      </c>
      <c r="I70" s="604">
        <f>SUM(J70:U70)</f>
        <v>18580911.582230035</v>
      </c>
      <c r="J70" s="603">
        <f>(ReducedRandValuesOld!J70*13.74%)+ReducedRandValuesOld!J70</f>
        <v>2580214.5747332415</v>
      </c>
      <c r="K70" s="603">
        <f>(ReducedRandValuesOld!K70*13.74%)+ReducedRandValuesOld!K70</f>
        <v>2499247.9644886479</v>
      </c>
      <c r="L70" s="603">
        <f>(ReducedRandValuesOld!L70*13.74%)+ReducedRandValuesOld!L70</f>
        <v>1489462.9257516009</v>
      </c>
      <c r="M70" s="603">
        <f>(ReducedRandValuesOld!M70*13.74%)+ReducedRandValuesOld!M70</f>
        <v>1305001.1745401092</v>
      </c>
      <c r="N70" s="603">
        <f>(ReducedRandValuesOld!N70*13.74%)+ReducedRandValuesOld!N70</f>
        <v>1245002.0797104044</v>
      </c>
      <c r="O70" s="603">
        <f>(ReducedRandValuesOld!O70*13.74%)+ReducedRandValuesOld!O70</f>
        <v>959301.24387109932</v>
      </c>
      <c r="P70" s="603">
        <f>(ReducedRandValuesOld!P70*13.74%)+ReducedRandValuesOld!P70</f>
        <v>1021073.6081933372</v>
      </c>
      <c r="Q70" s="603">
        <f>(ReducedRandValuesOld!Q70*13.74%)+ReducedRandValuesOld!Q70</f>
        <v>944209.67738994211</v>
      </c>
      <c r="R70" s="603">
        <f>(ReducedRandValuesOld!R70*13.74%)+ReducedRandValuesOld!R70</f>
        <v>1188236.5939553187</v>
      </c>
      <c r="S70" s="603">
        <f>(ReducedRandValuesOld!S70*13.74%)+ReducedRandValuesOld!S70</f>
        <v>1097662.1606755392</v>
      </c>
      <c r="T70" s="603">
        <f>(ReducedRandValuesOld!T70*13.74%)+ReducedRandValuesOld!T70</f>
        <v>1599009.2564020806</v>
      </c>
      <c r="U70" s="603">
        <f>(ReducedRandValuesOld!U70*13.74%)+ReducedRandValuesOld!U70</f>
        <v>2652490.3225187138</v>
      </c>
      <c r="V70" s="605">
        <f>SUM(L70:T70)</f>
        <v>10848958.720489431</v>
      </c>
      <c r="W70" s="605">
        <f>U70+J70+K70</f>
        <v>7731952.8617406031</v>
      </c>
    </row>
    <row r="71" spans="1:24" x14ac:dyDescent="0.35">
      <c r="A71" s="311" t="s">
        <v>353</v>
      </c>
      <c r="B71" s="311" t="s">
        <v>273</v>
      </c>
      <c r="C71" s="311" t="s">
        <v>877</v>
      </c>
      <c r="D71" s="311" t="s">
        <v>880</v>
      </c>
      <c r="E71" s="245" t="s">
        <v>877</v>
      </c>
      <c r="F71" s="245" t="s">
        <v>880</v>
      </c>
      <c r="I71" s="604">
        <f>SUM(J71:U71)</f>
        <v>32721795.09504573</v>
      </c>
      <c r="J71" s="603">
        <f>(ReducedRandValuesOld!J71*13.74%)+ReducedRandValuesOld!J71</f>
        <v>4532870.5276536345</v>
      </c>
      <c r="K71" s="603">
        <f>(ReducedRandValuesOld!K71*13.74%)+ReducedRandValuesOld!K71</f>
        <v>4343664.2017072048</v>
      </c>
      <c r="L71" s="603">
        <f>(ReducedRandValuesOld!L71*13.74%)+ReducedRandValuesOld!L71</f>
        <v>2543661.7727481569</v>
      </c>
      <c r="M71" s="603">
        <f>(ReducedRandValuesOld!M71*13.74%)+ReducedRandValuesOld!M71</f>
        <v>2323195.4464912545</v>
      </c>
      <c r="N71" s="603">
        <f>(ReducedRandValuesOld!N71*13.74%)+ReducedRandValuesOld!N71</f>
        <v>2220380.7443918958</v>
      </c>
      <c r="O71" s="603">
        <f>(ReducedRandValuesOld!O71*13.74%)+ReducedRandValuesOld!O71</f>
        <v>1745415.6469187774</v>
      </c>
      <c r="P71" s="603">
        <f>(ReducedRandValuesOld!P71*13.74%)+ReducedRandValuesOld!P71</f>
        <v>1880797.4609327472</v>
      </c>
      <c r="Q71" s="603">
        <f>(ReducedRandValuesOld!Q71*13.74%)+ReducedRandValuesOld!Q71</f>
        <v>1691769.4981662307</v>
      </c>
      <c r="R71" s="603">
        <f>(ReducedRandValuesOld!R71*13.74%)+ReducedRandValuesOld!R71</f>
        <v>2112731.4631984178</v>
      </c>
      <c r="S71" s="603">
        <f>(ReducedRandValuesOld!S71*13.74%)+ReducedRandValuesOld!S71</f>
        <v>1916094.6481023359</v>
      </c>
      <c r="T71" s="603">
        <f>(ReducedRandValuesOld!T71*13.74%)+ReducedRandValuesOld!T71</f>
        <v>2749719.5573729356</v>
      </c>
      <c r="U71" s="603">
        <f>(ReducedRandValuesOld!U71*13.74%)+ReducedRandValuesOld!U71</f>
        <v>4661494.1273621395</v>
      </c>
      <c r="V71" s="605">
        <f>SUM(L71:T71)</f>
        <v>19183766.238322753</v>
      </c>
      <c r="W71" s="605">
        <f>U71+J71+K71</f>
        <v>13538028.856722979</v>
      </c>
    </row>
    <row r="72" spans="1:24" x14ac:dyDescent="0.35">
      <c r="A72" s="311" t="s">
        <v>351</v>
      </c>
      <c r="B72" s="311" t="s">
        <v>274</v>
      </c>
      <c r="C72" s="311" t="s">
        <v>879</v>
      </c>
      <c r="D72" s="311" t="s">
        <v>882</v>
      </c>
      <c r="E72" s="245" t="s">
        <v>879</v>
      </c>
      <c r="F72" s="245" t="s">
        <v>882</v>
      </c>
      <c r="I72" s="604">
        <f>SUM(J72:U72)</f>
        <v>25460487.627288505</v>
      </c>
      <c r="J72" s="603">
        <f>(ReducedRandValuesOld!J72*13.74%)+ReducedRandValuesOld!J72</f>
        <v>3174288.2273847605</v>
      </c>
      <c r="K72" s="603">
        <f>(ReducedRandValuesOld!K72*13.74%)+ReducedRandValuesOld!K72</f>
        <v>3434685.7506729029</v>
      </c>
      <c r="L72" s="603">
        <f>(ReducedRandValuesOld!L72*13.74%)+ReducedRandValuesOld!L72</f>
        <v>1885818.0269917448</v>
      </c>
      <c r="M72" s="603">
        <f>(ReducedRandValuesOld!M72*13.74%)+ReducedRandValuesOld!M72</f>
        <v>1903891.2843292654</v>
      </c>
      <c r="N72" s="603">
        <f>(ReducedRandValuesOld!N72*13.74%)+ReducedRandValuesOld!N72</f>
        <v>1677119.2348179501</v>
      </c>
      <c r="O72" s="603">
        <f>(ReducedRandValuesOld!O72*13.74%)+ReducedRandValuesOld!O72</f>
        <v>1587199.4122357448</v>
      </c>
      <c r="P72" s="603">
        <f>(ReducedRandValuesOld!P72*13.74%)+ReducedRandValuesOld!P72</f>
        <v>1661336.850676965</v>
      </c>
      <c r="Q72" s="603">
        <f>(ReducedRandValuesOld!Q72*13.74%)+ReducedRandValuesOld!Q72</f>
        <v>1325239.6480134351</v>
      </c>
      <c r="R72" s="603">
        <f>(ReducedRandValuesOld!R72*13.74%)+ReducedRandValuesOld!R72</f>
        <v>1577130.7927659901</v>
      </c>
      <c r="S72" s="603">
        <f>(ReducedRandValuesOld!S72*13.74%)+ReducedRandValuesOld!S72</f>
        <v>1731573.2175087498</v>
      </c>
      <c r="T72" s="603">
        <f>(ReducedRandValuesOld!T72*13.74%)+ReducedRandValuesOld!T72</f>
        <v>2206123.0867360304</v>
      </c>
      <c r="U72" s="603">
        <f>(ReducedRandValuesOld!U72*13.74%)+ReducedRandValuesOld!U72</f>
        <v>3296082.095154969</v>
      </c>
      <c r="V72" s="605">
        <f>SUM(L72:T72)</f>
        <v>15555431.554075876</v>
      </c>
      <c r="W72" s="605">
        <f>U72+J72+K72</f>
        <v>9905056.0732126329</v>
      </c>
    </row>
    <row r="73" spans="1:24" x14ac:dyDescent="0.35">
      <c r="A73" s="247" t="s">
        <v>547</v>
      </c>
      <c r="I73" s="601">
        <f>SUM(I74:I76)</f>
        <v>6465981.4520388981</v>
      </c>
      <c r="J73" s="602"/>
      <c r="K73" s="602"/>
      <c r="L73" s="602"/>
      <c r="M73" s="602"/>
      <c r="N73" s="602"/>
      <c r="O73" s="602"/>
      <c r="P73" s="602"/>
      <c r="Q73" s="602"/>
      <c r="R73" s="602"/>
      <c r="S73" s="602"/>
      <c r="T73" s="602"/>
      <c r="U73" s="602"/>
      <c r="V73" s="603">
        <f>+V72+V71+V70+V69+V68</f>
        <v>53393183.783559397</v>
      </c>
      <c r="W73" s="603">
        <f>+W72+W71+W70+W69+W68</f>
        <v>33959639.029005758</v>
      </c>
      <c r="X73" s="245">
        <f>+V73+W73</f>
        <v>87352822.812565148</v>
      </c>
    </row>
    <row r="74" spans="1:24" x14ac:dyDescent="0.35">
      <c r="A74" s="311" t="s">
        <v>489</v>
      </c>
      <c r="B74" s="311" t="s">
        <v>276</v>
      </c>
      <c r="C74" s="311" t="s">
        <v>488</v>
      </c>
      <c r="D74" s="311" t="s">
        <v>822</v>
      </c>
      <c r="E74" s="245" t="s">
        <v>488</v>
      </c>
      <c r="F74" s="245" t="s">
        <v>822</v>
      </c>
      <c r="I74" s="604">
        <f>SUM(J74:U74)</f>
        <v>1548200.7826455988</v>
      </c>
      <c r="J74" s="603">
        <f>(ReducedRandValuesOld!J74*13.74%)+ReducedRandValuesOld!J74</f>
        <v>175389.64091568155</v>
      </c>
      <c r="K74" s="603">
        <f>(ReducedRandValuesOld!K74*13.74%)+ReducedRandValuesOld!K74</f>
        <v>151776.27799601431</v>
      </c>
      <c r="L74" s="603">
        <f>(ReducedRandValuesOld!L74*13.74%)+ReducedRandValuesOld!L74</f>
        <v>91066.656538442709</v>
      </c>
      <c r="M74" s="603">
        <f>(ReducedRandValuesOld!M74*13.74%)+ReducedRandValuesOld!M74</f>
        <v>111645.18893867558</v>
      </c>
      <c r="N74" s="603">
        <f>(ReducedRandValuesOld!N74*13.74%)+ReducedRandValuesOld!N74</f>
        <v>111178.27479287836</v>
      </c>
      <c r="O74" s="603">
        <f>(ReducedRandValuesOld!O74*13.74%)+ReducedRandValuesOld!O74</f>
        <v>87503.63916707944</v>
      </c>
      <c r="P74" s="603">
        <f>(ReducedRandValuesOld!P74*13.74%)+ReducedRandValuesOld!P74</f>
        <v>124999.97772541606</v>
      </c>
      <c r="Q74" s="603">
        <f>(ReducedRandValuesOld!Q74*13.74%)+ReducedRandValuesOld!Q74</f>
        <v>129106.73377455279</v>
      </c>
      <c r="R74" s="603">
        <f>(ReducedRandValuesOld!R74*13.74%)+ReducedRandValuesOld!R74</f>
        <v>123820.26120688149</v>
      </c>
      <c r="S74" s="603">
        <f>(ReducedRandValuesOld!S74*13.74%)+ReducedRandValuesOld!S74</f>
        <v>113564.31049959618</v>
      </c>
      <c r="T74" s="603">
        <f>(ReducedRandValuesOld!T74*13.74%)+ReducedRandValuesOld!T74</f>
        <v>117427.16730643946</v>
      </c>
      <c r="U74" s="603">
        <f>(ReducedRandValuesOld!U74*13.74%)+ReducedRandValuesOld!U74</f>
        <v>210722.65378394068</v>
      </c>
      <c r="V74" s="605">
        <f>SUM(L74:T74)</f>
        <v>1010312.2099499621</v>
      </c>
      <c r="W74" s="605">
        <f>U74+J74+K74</f>
        <v>537888.57269563654</v>
      </c>
    </row>
    <row r="75" spans="1:24" x14ac:dyDescent="0.35">
      <c r="A75" s="311" t="s">
        <v>487</v>
      </c>
      <c r="B75" s="311" t="s">
        <v>277</v>
      </c>
      <c r="C75" s="311" t="s">
        <v>486</v>
      </c>
      <c r="D75" s="311" t="s">
        <v>821</v>
      </c>
      <c r="E75" s="245" t="s">
        <v>486</v>
      </c>
      <c r="F75" s="245" t="s">
        <v>821</v>
      </c>
      <c r="I75" s="604">
        <f>SUM(J75:U75)</f>
        <v>2351211.1912925448</v>
      </c>
      <c r="J75" s="603">
        <f>(ReducedRandValuesOld!J75*13.74%)+ReducedRandValuesOld!J75</f>
        <v>229911.96948868528</v>
      </c>
      <c r="K75" s="603">
        <f>(ReducedRandValuesOld!K75*13.74%)+ReducedRandValuesOld!K75</f>
        <v>208384.44092363364</v>
      </c>
      <c r="L75" s="603">
        <f>(ReducedRandValuesOld!L75*13.74%)+ReducedRandValuesOld!L75</f>
        <v>145255.71981165092</v>
      </c>
      <c r="M75" s="603">
        <f>(ReducedRandValuesOld!M75*13.74%)+ReducedRandValuesOld!M75</f>
        <v>178829.93703361633</v>
      </c>
      <c r="N75" s="603">
        <f>(ReducedRandValuesOld!N75*13.74%)+ReducedRandValuesOld!N75</f>
        <v>172593.56844231513</v>
      </c>
      <c r="O75" s="603">
        <f>(ReducedRandValuesOld!O75*13.74%)+ReducedRandValuesOld!O75</f>
        <v>142419.77750131086</v>
      </c>
      <c r="P75" s="603">
        <f>(ReducedRandValuesOld!P75*13.74%)+ReducedRandValuesOld!P75</f>
        <v>202097.36879869096</v>
      </c>
      <c r="Q75" s="603">
        <f>(ReducedRandValuesOld!Q75*13.74%)+ReducedRandValuesOld!Q75</f>
        <v>207160.74284379915</v>
      </c>
      <c r="R75" s="603">
        <f>(ReducedRandValuesOld!R75*13.74%)+ReducedRandValuesOld!R75</f>
        <v>205438.20192509348</v>
      </c>
      <c r="S75" s="603">
        <f>(ReducedRandValuesOld!S75*13.74%)+ReducedRandValuesOld!S75</f>
        <v>189026.18426450534</v>
      </c>
      <c r="T75" s="603">
        <f>(ReducedRandValuesOld!T75*13.74%)+ReducedRandValuesOld!T75</f>
        <v>186188.35509966736</v>
      </c>
      <c r="U75" s="603">
        <f>(ReducedRandValuesOld!U75*13.74%)+ReducedRandValuesOld!U75</f>
        <v>283904.92515957652</v>
      </c>
      <c r="V75" s="605">
        <f>SUM(L75:T75)</f>
        <v>1629009.8557206495</v>
      </c>
      <c r="W75" s="605">
        <f>U75+J75+K75</f>
        <v>722201.33557189547</v>
      </c>
    </row>
    <row r="76" spans="1:24" x14ac:dyDescent="0.35">
      <c r="A76" s="311" t="s">
        <v>480</v>
      </c>
      <c r="B76" s="311" t="s">
        <v>278</v>
      </c>
      <c r="C76" s="311" t="s">
        <v>482</v>
      </c>
      <c r="D76" s="311" t="s">
        <v>823</v>
      </c>
      <c r="E76" s="245" t="s">
        <v>482</v>
      </c>
      <c r="F76" s="245" t="s">
        <v>823</v>
      </c>
      <c r="I76" s="604">
        <f>SUM(J76:U76)</f>
        <v>2566569.4781007543</v>
      </c>
      <c r="J76" s="603">
        <f>(ReducedRandValuesOld!J76*13.74%)+ReducedRandValuesOld!J76</f>
        <v>251229.24728402126</v>
      </c>
      <c r="K76" s="603">
        <f>(ReducedRandValuesOld!K76*13.74%)+ReducedRandValuesOld!K76</f>
        <v>284863.6396321762</v>
      </c>
      <c r="L76" s="603">
        <f>(ReducedRandValuesOld!L76*13.74%)+ReducedRandValuesOld!L76</f>
        <v>157878.63157636108</v>
      </c>
      <c r="M76" s="603">
        <f>(ReducedRandValuesOld!M76*13.74%)+ReducedRandValuesOld!M76</f>
        <v>175057.17437294242</v>
      </c>
      <c r="N76" s="603">
        <f>(ReducedRandValuesOld!N76*13.74%)+ReducedRandValuesOld!N76</f>
        <v>172738.70563214569</v>
      </c>
      <c r="O76" s="603">
        <f>(ReducedRandValuesOld!O76*13.74%)+ReducedRandValuesOld!O76</f>
        <v>198190.1885356901</v>
      </c>
      <c r="P76" s="603">
        <f>(ReducedRandValuesOld!P76*13.74%)+ReducedRandValuesOld!P76</f>
        <v>201345.73707533206</v>
      </c>
      <c r="Q76" s="603">
        <f>(ReducedRandValuesOld!Q76*13.74%)+ReducedRandValuesOld!Q76</f>
        <v>198255.24863200207</v>
      </c>
      <c r="R76" s="603">
        <f>(ReducedRandValuesOld!R76*13.74%)+ReducedRandValuesOld!R76</f>
        <v>224806.7290898583</v>
      </c>
      <c r="S76" s="603">
        <f>(ReducedRandValuesOld!S76*13.74%)+ReducedRandValuesOld!S76</f>
        <v>204261.79484892025</v>
      </c>
      <c r="T76" s="603">
        <f>(ReducedRandValuesOld!T76*13.74%)+ReducedRandValuesOld!T76</f>
        <v>182521.54867388826</v>
      </c>
      <c r="U76" s="603">
        <f>(ReducedRandValuesOld!U76*13.74%)+ReducedRandValuesOld!U76</f>
        <v>315420.83274741651</v>
      </c>
      <c r="V76" s="605">
        <f>SUM(L76:T76)</f>
        <v>1715055.7584371401</v>
      </c>
      <c r="W76" s="605">
        <f>U76+J76+K76</f>
        <v>851513.71966361394</v>
      </c>
    </row>
    <row r="77" spans="1:24" x14ac:dyDescent="0.35">
      <c r="A77" s="247" t="s">
        <v>1478</v>
      </c>
      <c r="I77" s="601">
        <f>SUM(I78:I80)</f>
        <v>1320804.9742306466</v>
      </c>
      <c r="J77" s="602"/>
      <c r="K77" s="602"/>
      <c r="L77" s="602"/>
      <c r="M77" s="602"/>
      <c r="N77" s="602"/>
      <c r="O77" s="602"/>
      <c r="P77" s="602"/>
      <c r="Q77" s="602"/>
      <c r="R77" s="602"/>
      <c r="S77" s="602"/>
      <c r="T77" s="602"/>
      <c r="U77" s="602"/>
      <c r="V77" s="603">
        <f>+V76+V75+V74</f>
        <v>4354377.8241077513</v>
      </c>
      <c r="W77" s="603">
        <f>+W76+W75+W74</f>
        <v>2111603.627931146</v>
      </c>
      <c r="X77" s="245">
        <f>+W77+V77</f>
        <v>6465981.4520388972</v>
      </c>
    </row>
    <row r="78" spans="1:24" x14ac:dyDescent="0.35">
      <c r="A78" s="311" t="s">
        <v>507</v>
      </c>
      <c r="B78" s="311" t="s">
        <v>443</v>
      </c>
      <c r="C78" s="311" t="s">
        <v>506</v>
      </c>
      <c r="D78" s="311" t="s">
        <v>1053</v>
      </c>
      <c r="E78" s="245" t="s">
        <v>506</v>
      </c>
      <c r="F78" s="245" t="s">
        <v>1053</v>
      </c>
      <c r="I78" s="604">
        <f>SUM(J78:U78)</f>
        <v>362289.84730107617</v>
      </c>
      <c r="J78" s="603">
        <f>(ReducedRandValuesOld!J78*13.74%)+ReducedRandValuesOld!J78</f>
        <v>40363.220856802465</v>
      </c>
      <c r="K78" s="603">
        <f>(ReducedRandValuesOld!K78*13.74%)+ReducedRandValuesOld!K78</f>
        <v>36250.742668203202</v>
      </c>
      <c r="L78" s="603">
        <f>(ReducedRandValuesOld!L78*13.74%)+ReducedRandValuesOld!L78</f>
        <v>16852.635633568443</v>
      </c>
      <c r="M78" s="603">
        <f>(ReducedRandValuesOld!M78*13.74%)+ReducedRandValuesOld!M78</f>
        <v>21269.595711221198</v>
      </c>
      <c r="N78" s="603">
        <f>(ReducedRandValuesOld!N78*13.74%)+ReducedRandValuesOld!N78</f>
        <v>19270.790229485145</v>
      </c>
      <c r="O78" s="603">
        <f>(ReducedRandValuesOld!O78*13.74%)+ReducedRandValuesOld!O78</f>
        <v>18936.750726423274</v>
      </c>
      <c r="P78" s="603">
        <f>(ReducedRandValuesOld!P78*13.74%)+ReducedRandValuesOld!P78</f>
        <v>27569.790241095379</v>
      </c>
      <c r="Q78" s="603">
        <f>(ReducedRandValuesOld!Q78*13.74%)+ReducedRandValuesOld!Q78</f>
        <v>27463.508863524203</v>
      </c>
      <c r="R78" s="603">
        <f>(ReducedRandValuesOld!R78*13.74%)+ReducedRandValuesOld!R78</f>
        <v>25946.45050612263</v>
      </c>
      <c r="S78" s="603">
        <f>(ReducedRandValuesOld!S78*13.74%)+ReducedRandValuesOld!S78</f>
        <v>24809.750589199368</v>
      </c>
      <c r="T78" s="603">
        <f>(ReducedRandValuesOld!T78*13.74%)+ReducedRandValuesOld!T78</f>
        <v>32847.217801083651</v>
      </c>
      <c r="U78" s="603">
        <f>(ReducedRandValuesOld!U78*13.74%)+ReducedRandValuesOld!U78</f>
        <v>70709.393474347162</v>
      </c>
      <c r="V78" s="605">
        <f>SUM(L78:T78)</f>
        <v>214966.4903017233</v>
      </c>
      <c r="W78" s="605">
        <f>U78+J78+K78</f>
        <v>147323.35699935284</v>
      </c>
    </row>
    <row r="79" spans="1:24" x14ac:dyDescent="0.35">
      <c r="A79" s="311" t="s">
        <v>505</v>
      </c>
      <c r="B79" s="311" t="s">
        <v>445</v>
      </c>
      <c r="C79" s="311" t="s">
        <v>504</v>
      </c>
      <c r="D79" s="311" t="s">
        <v>1052</v>
      </c>
      <c r="E79" s="245" t="s">
        <v>504</v>
      </c>
      <c r="F79" s="245" t="s">
        <v>1052</v>
      </c>
      <c r="I79" s="604">
        <f>SUM(J79:U79)</f>
        <v>523285.30319566635</v>
      </c>
      <c r="J79" s="603">
        <f>(ReducedRandValuesOld!J79*13.74%)+ReducedRandValuesOld!J79</f>
        <v>55306.009827234782</v>
      </c>
      <c r="K79" s="603">
        <f>(ReducedRandValuesOld!K79*13.74%)+ReducedRandValuesOld!K79</f>
        <v>52464.050774507275</v>
      </c>
      <c r="L79" s="603">
        <f>(ReducedRandValuesOld!L79*13.74%)+ReducedRandValuesOld!L79</f>
        <v>25437.020400095294</v>
      </c>
      <c r="M79" s="603">
        <f>(ReducedRandValuesOld!M79*13.74%)+ReducedRandValuesOld!M79</f>
        <v>32743.508507477054</v>
      </c>
      <c r="N79" s="603">
        <f>(ReducedRandValuesOld!N79*13.74%)+ReducedRandValuesOld!N79</f>
        <v>30269.481911525178</v>
      </c>
      <c r="O79" s="603">
        <f>(ReducedRandValuesOld!O79*13.74%)+ReducedRandValuesOld!O79</f>
        <v>29518.640122312536</v>
      </c>
      <c r="P79" s="603">
        <f>(ReducedRandValuesOld!P79*13.74%)+ReducedRandValuesOld!P79</f>
        <v>44623.222823287848</v>
      </c>
      <c r="Q79" s="603">
        <f>(ReducedRandValuesOld!Q79*13.74%)+ReducedRandValuesOld!Q79</f>
        <v>44428.834328725861</v>
      </c>
      <c r="R79" s="603">
        <f>(ReducedRandValuesOld!R79*13.74%)+ReducedRandValuesOld!R79</f>
        <v>43548.533724710782</v>
      </c>
      <c r="S79" s="603">
        <f>(ReducedRandValuesOld!S79*13.74%)+ReducedRandValuesOld!S79</f>
        <v>37313.143625342906</v>
      </c>
      <c r="T79" s="603">
        <f>(ReducedRandValuesOld!T79*13.74%)+ReducedRandValuesOld!T79</f>
        <v>44225.606226623742</v>
      </c>
      <c r="U79" s="603">
        <f>(ReducedRandValuesOld!U79*13.74%)+ReducedRandValuesOld!U79</f>
        <v>83407.250923822983</v>
      </c>
      <c r="V79" s="605">
        <f>SUM(L79:T79)</f>
        <v>332107.99167010124</v>
      </c>
      <c r="W79" s="605">
        <f>U79+J79+K79</f>
        <v>191177.31152556505</v>
      </c>
    </row>
    <row r="80" spans="1:24" x14ac:dyDescent="0.35">
      <c r="A80" s="311" t="s">
        <v>509</v>
      </c>
      <c r="B80" s="311" t="s">
        <v>441</v>
      </c>
      <c r="C80" s="311" t="s">
        <v>508</v>
      </c>
      <c r="D80" s="311" t="s">
        <v>1054</v>
      </c>
      <c r="E80" s="245" t="s">
        <v>508</v>
      </c>
      <c r="F80" s="245" t="s">
        <v>1054</v>
      </c>
      <c r="I80" s="604">
        <f>SUM(J80:U80)</f>
        <v>435229.82373390422</v>
      </c>
      <c r="J80" s="603">
        <f>(ReducedRandValuesOld!J80*13.74%)+ReducedRandValuesOld!J80</f>
        <v>55495.846648551335</v>
      </c>
      <c r="K80" s="603">
        <f>(ReducedRandValuesOld!K80*13.74%)+ReducedRandValuesOld!K80</f>
        <v>58116.019469058141</v>
      </c>
      <c r="L80" s="603">
        <f>(ReducedRandValuesOld!L80*13.74%)+ReducedRandValuesOld!L80</f>
        <v>22934.345531446848</v>
      </c>
      <c r="M80" s="603">
        <f>(ReducedRandValuesOld!M80*13.74%)+ReducedRandValuesOld!M80</f>
        <v>26397.492655151407</v>
      </c>
      <c r="N80" s="603">
        <f>(ReducedRandValuesOld!N80*13.74%)+ReducedRandValuesOld!N80</f>
        <v>25729.997790924212</v>
      </c>
      <c r="O80" s="603">
        <f>(ReducedRandValuesOld!O80*13.74%)+ReducedRandValuesOld!O80</f>
        <v>30201.38049995415</v>
      </c>
      <c r="P80" s="603">
        <f>(ReducedRandValuesOld!P80*13.74%)+ReducedRandValuesOld!P80</f>
        <v>33648.209949361328</v>
      </c>
      <c r="Q80" s="603">
        <f>(ReducedRandValuesOld!Q80*13.74%)+ReducedRandValuesOld!Q80</f>
        <v>28697.604827986241</v>
      </c>
      <c r="R80" s="603">
        <f>(ReducedRandValuesOld!R80*13.74%)+ReducedRandValuesOld!R80</f>
        <v>31732.182319977092</v>
      </c>
      <c r="S80" s="603">
        <f>(ReducedRandValuesOld!S80*13.74%)+ReducedRandValuesOld!S80</f>
        <v>31054.828860861904</v>
      </c>
      <c r="T80" s="603">
        <f>(ReducedRandValuesOld!T80*13.74%)+ReducedRandValuesOld!T80</f>
        <v>29628.222190258683</v>
      </c>
      <c r="U80" s="603">
        <f>(ReducedRandValuesOld!U80*13.74%)+ReducedRandValuesOld!U80</f>
        <v>61593.692990372911</v>
      </c>
      <c r="V80" s="605">
        <f>SUM(L80:T80)</f>
        <v>260024.26462592185</v>
      </c>
      <c r="W80" s="605">
        <f>U80+J80+K80</f>
        <v>175205.55910798238</v>
      </c>
    </row>
    <row r="81" spans="1:24" x14ac:dyDescent="0.35">
      <c r="A81" s="247" t="s">
        <v>1479</v>
      </c>
      <c r="B81" s="248"/>
      <c r="C81" s="248"/>
      <c r="D81" s="248"/>
      <c r="I81" s="601">
        <f>I82</f>
        <v>535891.64344199956</v>
      </c>
      <c r="J81" s="606"/>
      <c r="K81" s="606"/>
      <c r="L81" s="606"/>
      <c r="M81" s="638"/>
      <c r="N81" s="638"/>
      <c r="O81" s="638"/>
      <c r="P81" s="606"/>
      <c r="Q81" s="606"/>
      <c r="R81" s="606"/>
      <c r="S81" s="606"/>
      <c r="T81" s="606"/>
      <c r="U81" s="606"/>
      <c r="V81" s="605">
        <f>+V80+V79+V78</f>
        <v>807098.74659774639</v>
      </c>
      <c r="W81" s="605">
        <f>+W80+W79+W78</f>
        <v>513706.22763290023</v>
      </c>
      <c r="X81" s="245">
        <f>+W81+V81</f>
        <v>1320804.9742306466</v>
      </c>
    </row>
    <row r="82" spans="1:24" x14ac:dyDescent="0.35">
      <c r="A82" s="328" t="s">
        <v>1488</v>
      </c>
      <c r="B82" s="328" t="s">
        <v>1488</v>
      </c>
      <c r="C82" s="328" t="s">
        <v>1481</v>
      </c>
      <c r="D82" s="328" t="s">
        <v>1481</v>
      </c>
      <c r="I82" s="604">
        <f>SUM(J82:U82)</f>
        <v>535891.64344199956</v>
      </c>
      <c r="J82" s="603">
        <f>(ReducedRandValuesOld!J82*13.74%)+ReducedRandValuesOld!J82</f>
        <v>40915.348088569575</v>
      </c>
      <c r="K82" s="603">
        <f>(ReducedRandValuesOld!K82*13.74%)+ReducedRandValuesOld!K82</f>
        <v>66634.206109510109</v>
      </c>
      <c r="L82" s="603">
        <f>(ReducedRandValuesOld!L82*13.74%)+ReducedRandValuesOld!L82</f>
        <v>72359.401634370646</v>
      </c>
      <c r="M82" s="603">
        <f>(ReducedRandValuesOld!M82*13.74%)+ReducedRandValuesOld!M82</f>
        <v>37846.920709770726</v>
      </c>
      <c r="N82" s="603">
        <f>(ReducedRandValuesOld!N82*13.74%)+ReducedRandValuesOld!N82</f>
        <v>34074.625195234039</v>
      </c>
      <c r="O82" s="603">
        <f>(ReducedRandValuesOld!O82*13.74%)+ReducedRandValuesOld!O82</f>
        <v>53414.656625974429</v>
      </c>
      <c r="P82" s="603">
        <f>(ReducedRandValuesOld!P82*13.74%)+ReducedRandValuesOld!P82</f>
        <v>28731.292422084956</v>
      </c>
      <c r="Q82" s="603">
        <f>(ReducedRandValuesOld!Q82*13.74%)+ReducedRandValuesOld!Q82</f>
        <v>47019.579258750731</v>
      </c>
      <c r="R82" s="603">
        <f>(ReducedRandValuesOld!R82*13.74%)+ReducedRandValuesOld!R82</f>
        <v>21419.907161912954</v>
      </c>
      <c r="S82" s="603">
        <f>(ReducedRandValuesOld!S82*13.74%)+ReducedRandValuesOld!S82</f>
        <v>40737.118352577701</v>
      </c>
      <c r="T82" s="603">
        <f>(ReducedRandValuesOld!T82*13.74%)+ReducedRandValuesOld!T82</f>
        <v>39500.61523724893</v>
      </c>
      <c r="U82" s="603">
        <f>(ReducedRandValuesOld!U82*13.74%)+ReducedRandValuesOld!U82</f>
        <v>53237.972645994814</v>
      </c>
      <c r="V82" s="605">
        <f>SUM(L82:T82)</f>
        <v>375104.11659792508</v>
      </c>
      <c r="W82" s="605">
        <f>U82+J82+K82</f>
        <v>160787.52684407448</v>
      </c>
    </row>
    <row r="83" spans="1:24" x14ac:dyDescent="0.35">
      <c r="A83" s="248" t="s">
        <v>485</v>
      </c>
      <c r="B83" s="248" t="s">
        <v>485</v>
      </c>
      <c r="C83" s="248"/>
      <c r="D83" s="248"/>
      <c r="E83" s="248"/>
      <c r="F83" s="248"/>
      <c r="G83" s="248"/>
      <c r="H83" s="248"/>
      <c r="I83" s="612">
        <f>SUM(J83:U83)</f>
        <v>88780489.872316688</v>
      </c>
      <c r="J83" s="603">
        <f>(ReducedRandValuesOld!J83*13.74%)+ReducedRandValuesOld!J83</f>
        <v>7588634.8042807067</v>
      </c>
      <c r="K83" s="603">
        <f>(ReducedRandValuesOld!K83*13.74%)+ReducedRandValuesOld!K83</f>
        <v>7605594.8392471578</v>
      </c>
      <c r="L83" s="603">
        <f>(ReducedRandValuesOld!L83*13.74%)+ReducedRandValuesOld!L83</f>
        <v>7369532.5335740224</v>
      </c>
      <c r="M83" s="603">
        <f>(ReducedRandValuesOld!M83*13.74%)+ReducedRandValuesOld!M83</f>
        <v>7619196.4752102494</v>
      </c>
      <c r="N83" s="603">
        <f>(ReducedRandValuesOld!N83*13.74%)+ReducedRandValuesOld!N83</f>
        <v>7405641.9431704395</v>
      </c>
      <c r="O83" s="603">
        <f>(ReducedRandValuesOld!O83*13.74%)+ReducedRandValuesOld!O83</f>
        <v>7268186.667742176</v>
      </c>
      <c r="P83" s="603">
        <f>(ReducedRandValuesOld!P83*13.74%)+ReducedRandValuesOld!P83</f>
        <v>7278984.8921269896</v>
      </c>
      <c r="Q83" s="603">
        <f>(ReducedRandValuesOld!Q83*13.74%)+ReducedRandValuesOld!Q83</f>
        <v>7334939.3275755718</v>
      </c>
      <c r="R83" s="603">
        <f>(ReducedRandValuesOld!R83*13.74%)+ReducedRandValuesOld!R83</f>
        <v>7519490.7988796663</v>
      </c>
      <c r="S83" s="603">
        <f>(ReducedRandValuesOld!S83*13.74%)+ReducedRandValuesOld!S83</f>
        <v>7242663.5919235237</v>
      </c>
      <c r="T83" s="603">
        <f>(ReducedRandValuesOld!T83*13.74%)+ReducedRandValuesOld!T83</f>
        <v>7268186.667742176</v>
      </c>
      <c r="U83" s="603">
        <f>(ReducedRandValuesOld!U83*13.74%)+ReducedRandValuesOld!U83</f>
        <v>7279437.3308439972</v>
      </c>
      <c r="V83" s="613">
        <f>+V82</f>
        <v>375104.11659792508</v>
      </c>
      <c r="W83" s="613">
        <f>+W82</f>
        <v>160787.52684407448</v>
      </c>
      <c r="X83" s="245">
        <f>+V83+W83</f>
        <v>535891.64344199956</v>
      </c>
    </row>
    <row r="84" spans="1:24" x14ac:dyDescent="0.35">
      <c r="A84" s="867"/>
      <c r="B84" s="867"/>
      <c r="C84" s="867"/>
      <c r="D84" s="867"/>
      <c r="E84" s="867"/>
      <c r="F84" s="867"/>
      <c r="G84" s="867"/>
      <c r="H84" s="867"/>
      <c r="I84" s="867"/>
      <c r="J84" s="867"/>
      <c r="K84" s="867"/>
      <c r="L84" s="867"/>
      <c r="M84" s="867"/>
      <c r="N84" s="867"/>
      <c r="O84" s="867"/>
      <c r="P84" s="867"/>
      <c r="Q84" s="867"/>
      <c r="R84" s="867"/>
      <c r="S84" s="867"/>
      <c r="T84" s="867"/>
      <c r="U84" s="867"/>
      <c r="V84" s="875"/>
      <c r="W84" s="875"/>
    </row>
    <row r="85" spans="1:24" x14ac:dyDescent="0.35">
      <c r="A85" s="577"/>
      <c r="B85" s="867"/>
      <c r="C85" s="867"/>
      <c r="D85" s="867"/>
      <c r="E85" s="867"/>
      <c r="F85" s="867"/>
      <c r="G85" s="867"/>
      <c r="H85" s="867"/>
      <c r="I85" s="867"/>
      <c r="J85" s="867"/>
      <c r="K85" s="867"/>
      <c r="L85" s="867"/>
      <c r="M85" s="867"/>
      <c r="N85" s="867"/>
      <c r="O85" s="867"/>
      <c r="P85" s="867"/>
      <c r="Q85" s="867"/>
      <c r="R85" s="867"/>
      <c r="S85" s="867"/>
      <c r="T85" s="867"/>
      <c r="U85" s="867"/>
      <c r="V85" s="875"/>
      <c r="W85" s="875"/>
    </row>
    <row r="86" spans="1:24" ht="15.5" x14ac:dyDescent="0.35">
      <c r="A86" s="867"/>
      <c r="B86" s="867"/>
      <c r="C86" s="603"/>
      <c r="D86" s="603"/>
      <c r="E86" s="603"/>
      <c r="F86" s="603"/>
      <c r="G86" s="603"/>
      <c r="H86" s="603"/>
      <c r="I86" s="876" t="s">
        <v>1901</v>
      </c>
      <c r="J86" s="867"/>
      <c r="K86" s="867"/>
      <c r="L86" s="867"/>
      <c r="M86" s="867"/>
      <c r="N86" s="867"/>
      <c r="O86" s="867"/>
      <c r="P86" s="867"/>
      <c r="Q86" s="867"/>
      <c r="R86" s="867"/>
      <c r="S86" s="867"/>
      <c r="T86" s="867"/>
      <c r="U86" s="867"/>
      <c r="V86" s="875"/>
      <c r="W86" s="875"/>
    </row>
    <row r="87" spans="1:24" ht="15" thickBot="1" x14ac:dyDescent="0.4">
      <c r="A87" s="330"/>
      <c r="B87" s="330"/>
      <c r="I87" s="851" t="s">
        <v>295</v>
      </c>
      <c r="J87" s="852">
        <f>SUM(J88:J91)</f>
        <v>372517600.70664734</v>
      </c>
      <c r="K87" s="852">
        <f t="shared" ref="K87:S87" si="10">SUM(K88:K91)</f>
        <v>355803442.05914807</v>
      </c>
      <c r="L87" s="852">
        <f t="shared" si="10"/>
        <v>296851671.68525547</v>
      </c>
      <c r="M87" s="852">
        <f t="shared" si="10"/>
        <v>291714825.80826861</v>
      </c>
      <c r="N87" s="852">
        <f t="shared" si="10"/>
        <v>294988516.56817383</v>
      </c>
      <c r="O87" s="852">
        <f t="shared" si="10"/>
        <v>273264064.14186436</v>
      </c>
      <c r="P87" s="852">
        <f t="shared" si="10"/>
        <v>269575598.95067239</v>
      </c>
      <c r="Q87" s="852">
        <f t="shared" si="10"/>
        <v>208649391.89477181</v>
      </c>
      <c r="R87" s="852">
        <f t="shared" si="10"/>
        <v>216320527.56372061</v>
      </c>
      <c r="S87" s="852">
        <f t="shared" si="10"/>
        <v>212375009.0570474</v>
      </c>
      <c r="T87" s="852">
        <f>SUM(T88:T91)</f>
        <v>288843881.08825165</v>
      </c>
      <c r="U87" s="852">
        <f>SUM(U88:U91)</f>
        <v>391536631.97086406</v>
      </c>
      <c r="V87" s="853">
        <f>SUM(J87:U87)</f>
        <v>3472441161.4946861</v>
      </c>
      <c r="W87" s="877"/>
    </row>
    <row r="88" spans="1:24" ht="15" thickTop="1" x14ac:dyDescent="0.35">
      <c r="A88" s="330"/>
      <c r="B88" s="330"/>
      <c r="I88" s="718" t="s">
        <v>542</v>
      </c>
      <c r="J88" s="845">
        <f>+J4+J5+J11+J12+J27</f>
        <v>173998459.59686762</v>
      </c>
      <c r="K88" s="719">
        <f t="shared" ref="K88:U88" si="11">+K4+K5+K11+K12+K27</f>
        <v>163965980.10876167</v>
      </c>
      <c r="L88" s="719">
        <f t="shared" si="11"/>
        <v>149373912.68497324</v>
      </c>
      <c r="M88" s="719">
        <f t="shared" si="11"/>
        <v>149559055.81581125</v>
      </c>
      <c r="N88" s="719">
        <f t="shared" si="11"/>
        <v>149270205.76115999</v>
      </c>
      <c r="O88" s="719">
        <f t="shared" si="11"/>
        <v>150038787.63916314</v>
      </c>
      <c r="P88" s="719">
        <f t="shared" si="11"/>
        <v>142265086.7477155</v>
      </c>
      <c r="Q88" s="719">
        <f t="shared" si="11"/>
        <v>86897374.266248226</v>
      </c>
      <c r="R88" s="719">
        <f t="shared" si="11"/>
        <v>90772008.048997745</v>
      </c>
      <c r="S88" s="719">
        <f t="shared" si="11"/>
        <v>91394235.063847721</v>
      </c>
      <c r="T88" s="719">
        <f t="shared" si="11"/>
        <v>160806223.80281574</v>
      </c>
      <c r="U88" s="846">
        <f t="shared" si="11"/>
        <v>201144691.50223389</v>
      </c>
      <c r="V88" s="855">
        <f>SUM(J88:U88)</f>
        <v>1709486021.0385957</v>
      </c>
      <c r="W88" s="878"/>
    </row>
    <row r="89" spans="1:24" x14ac:dyDescent="0.35">
      <c r="A89" s="330"/>
      <c r="B89" s="330"/>
      <c r="I89" s="718" t="s">
        <v>297</v>
      </c>
      <c r="J89" s="845">
        <f t="shared" ref="J89:U89" si="12">SUM(J29:J82,J14:J25,J8:J9)</f>
        <v>188345112.43193096</v>
      </c>
      <c r="K89" s="719">
        <f t="shared" si="12"/>
        <v>181702901.89757678</v>
      </c>
      <c r="L89" s="719">
        <f t="shared" si="12"/>
        <v>138104224.07310292</v>
      </c>
      <c r="M89" s="719">
        <f t="shared" si="12"/>
        <v>132539647.94759053</v>
      </c>
      <c r="N89" s="719">
        <f t="shared" si="12"/>
        <v>136317705.18597457</v>
      </c>
      <c r="O89" s="719">
        <f t="shared" si="12"/>
        <v>113965489.4001549</v>
      </c>
      <c r="P89" s="719">
        <f t="shared" si="12"/>
        <v>118040417.34897265</v>
      </c>
      <c r="Q89" s="719">
        <f t="shared" si="12"/>
        <v>112422745.23115377</v>
      </c>
      <c r="R89" s="719">
        <f t="shared" si="12"/>
        <v>116034695.64604896</v>
      </c>
      <c r="S89" s="719">
        <f t="shared" si="12"/>
        <v>111742375.98020495</v>
      </c>
      <c r="T89" s="719">
        <f t="shared" si="12"/>
        <v>118778080.38558106</v>
      </c>
      <c r="U89" s="846">
        <f t="shared" si="12"/>
        <v>180579710.74381328</v>
      </c>
      <c r="V89" s="855">
        <f t="shared" ref="V89:V91" si="13">SUM(J89:U89)</f>
        <v>1648573106.2721055</v>
      </c>
      <c r="W89" s="878"/>
    </row>
    <row r="90" spans="1:24" x14ac:dyDescent="0.35">
      <c r="A90" s="330"/>
      <c r="B90" s="330"/>
      <c r="I90" s="718" t="s">
        <v>298</v>
      </c>
      <c r="J90" s="845">
        <f>+J3+J7</f>
        <v>2585393.8735680352</v>
      </c>
      <c r="K90" s="719">
        <f t="shared" ref="K90:U90" si="14">+K3+K7</f>
        <v>2528965.2135624536</v>
      </c>
      <c r="L90" s="719">
        <f t="shared" si="14"/>
        <v>2004002.3936052078</v>
      </c>
      <c r="M90" s="719">
        <f t="shared" si="14"/>
        <v>1996925.5696565998</v>
      </c>
      <c r="N90" s="719">
        <f t="shared" si="14"/>
        <v>1994963.6778688673</v>
      </c>
      <c r="O90" s="719">
        <f t="shared" si="14"/>
        <v>1991600.4348041825</v>
      </c>
      <c r="P90" s="719">
        <f t="shared" si="14"/>
        <v>1991109.9618572493</v>
      </c>
      <c r="Q90" s="719">
        <f t="shared" si="14"/>
        <v>1994333.0697942388</v>
      </c>
      <c r="R90" s="719">
        <f t="shared" si="14"/>
        <v>1994333.0697942388</v>
      </c>
      <c r="S90" s="719">
        <f t="shared" si="14"/>
        <v>1995734.4210711909</v>
      </c>
      <c r="T90" s="719">
        <f t="shared" si="14"/>
        <v>1991390.2321126396</v>
      </c>
      <c r="U90" s="846">
        <f t="shared" si="14"/>
        <v>2532792.3939729272</v>
      </c>
      <c r="V90" s="855">
        <f>SUM(J90:U90)</f>
        <v>25601544.311667826</v>
      </c>
      <c r="W90" s="878"/>
    </row>
    <row r="91" spans="1:24" x14ac:dyDescent="0.35">
      <c r="A91" s="330"/>
      <c r="B91" s="330"/>
      <c r="I91" s="720" t="s">
        <v>543</v>
      </c>
      <c r="J91" s="847">
        <f>+J83</f>
        <v>7588634.8042807067</v>
      </c>
      <c r="K91" s="721">
        <f t="shared" ref="K91:U91" si="15">+K83</f>
        <v>7605594.8392471578</v>
      </c>
      <c r="L91" s="721">
        <f t="shared" si="15"/>
        <v>7369532.5335740224</v>
      </c>
      <c r="M91" s="721">
        <f t="shared" si="15"/>
        <v>7619196.4752102494</v>
      </c>
      <c r="N91" s="721">
        <f t="shared" si="15"/>
        <v>7405641.9431704395</v>
      </c>
      <c r="O91" s="721">
        <f t="shared" si="15"/>
        <v>7268186.667742176</v>
      </c>
      <c r="P91" s="721">
        <f t="shared" si="15"/>
        <v>7278984.8921269896</v>
      </c>
      <c r="Q91" s="721">
        <f t="shared" si="15"/>
        <v>7334939.3275755718</v>
      </c>
      <c r="R91" s="721">
        <f t="shared" si="15"/>
        <v>7519490.7988796663</v>
      </c>
      <c r="S91" s="721">
        <f t="shared" si="15"/>
        <v>7242663.5919235237</v>
      </c>
      <c r="T91" s="721">
        <f t="shared" si="15"/>
        <v>7268186.667742176</v>
      </c>
      <c r="U91" s="848">
        <f t="shared" si="15"/>
        <v>7279437.3308439972</v>
      </c>
      <c r="V91" s="856">
        <f t="shared" si="13"/>
        <v>88780489.872316688</v>
      </c>
      <c r="W91" s="879"/>
    </row>
    <row r="92" spans="1:24" x14ac:dyDescent="0.35">
      <c r="A92" s="330"/>
      <c r="B92" s="330"/>
      <c r="I92" s="871"/>
      <c r="J92" s="872"/>
      <c r="K92" s="872"/>
      <c r="L92" s="872"/>
      <c r="M92" s="872"/>
      <c r="N92" s="872"/>
      <c r="O92" s="872"/>
      <c r="P92" s="872"/>
      <c r="Q92" s="872"/>
      <c r="R92" s="872"/>
      <c r="S92" s="872"/>
      <c r="T92" s="872"/>
      <c r="U92" s="872"/>
      <c r="V92" s="873"/>
      <c r="W92" s="874"/>
    </row>
    <row r="93" spans="1:24" ht="15.5" x14ac:dyDescent="0.35">
      <c r="A93" s="330"/>
      <c r="B93" s="330"/>
      <c r="D93" s="381"/>
      <c r="I93" s="870" t="s">
        <v>1918</v>
      </c>
      <c r="J93" s="869"/>
      <c r="K93" s="869"/>
      <c r="L93" s="869"/>
      <c r="M93" s="869"/>
      <c r="N93" s="869"/>
      <c r="O93" s="869"/>
      <c r="P93" s="869"/>
      <c r="Q93" s="869"/>
      <c r="R93" s="869"/>
      <c r="S93" s="869"/>
      <c r="T93" s="869"/>
      <c r="U93" s="869"/>
      <c r="V93" s="869"/>
      <c r="W93" s="869"/>
      <c r="X93" s="594"/>
    </row>
    <row r="94" spans="1:24" ht="15" thickBot="1" x14ac:dyDescent="0.4">
      <c r="A94" s="330"/>
      <c r="B94" s="330"/>
      <c r="I94" s="849" t="s">
        <v>295</v>
      </c>
      <c r="J94" s="850">
        <f t="shared" ref="J94:T94" si="16">SUM(J95:J98)</f>
        <v>418709783.19427168</v>
      </c>
      <c r="K94" s="850">
        <f t="shared" si="16"/>
        <v>399923068.87448245</v>
      </c>
      <c r="L94" s="850">
        <f t="shared" si="16"/>
        <v>333661278.97422719</v>
      </c>
      <c r="M94" s="850">
        <f t="shared" si="16"/>
        <v>327887464.20849395</v>
      </c>
      <c r="N94" s="850">
        <f t="shared" si="16"/>
        <v>331567092.6226275</v>
      </c>
      <c r="O94" s="850">
        <f t="shared" si="16"/>
        <v>307148808.09545565</v>
      </c>
      <c r="P94" s="850">
        <f t="shared" si="16"/>
        <v>303002973.22055578</v>
      </c>
      <c r="Q94" s="850">
        <f t="shared" si="16"/>
        <v>234521916.48972356</v>
      </c>
      <c r="R94" s="850">
        <f t="shared" si="16"/>
        <v>243144272.98162201</v>
      </c>
      <c r="S94" s="850">
        <f t="shared" si="16"/>
        <v>238709510.1801213</v>
      </c>
      <c r="T94" s="850">
        <f t="shared" si="16"/>
        <v>324660522.34319484</v>
      </c>
      <c r="U94" s="850">
        <f>SUM(U95:U98)</f>
        <v>440087174.33525127</v>
      </c>
      <c r="V94" s="850">
        <f>SUM(J94:U94)</f>
        <v>3903023865.5200276</v>
      </c>
      <c r="W94" s="869"/>
    </row>
    <row r="95" spans="1:24" ht="15" thickTop="1" x14ac:dyDescent="0.35">
      <c r="A95" s="330"/>
      <c r="B95" s="330"/>
      <c r="I95" s="860" t="s">
        <v>296</v>
      </c>
      <c r="J95" s="859">
        <f>J88*(1+'MSCOA - Tariff Structure'!$S$2)</f>
        <v>195574268.58687922</v>
      </c>
      <c r="K95" s="859">
        <f>K88*(1+'MSCOA - Tariff Structure'!$S$2)</f>
        <v>184297761.64224812</v>
      </c>
      <c r="L95" s="859">
        <f>L88*(1+'MSCOA - Tariff Structure'!$S$2)</f>
        <v>167896277.85790995</v>
      </c>
      <c r="M95" s="859">
        <f>M88*(1+'MSCOA - Tariff Structure'!$S$2)</f>
        <v>168104378.73697186</v>
      </c>
      <c r="N95" s="859">
        <f>N88*(1+'MSCOA - Tariff Structure'!$S$2)</f>
        <v>167779711.27554384</v>
      </c>
      <c r="O95" s="859">
        <f>O88*(1+'MSCOA - Tariff Structure'!$S$2)</f>
        <v>168643597.30641937</v>
      </c>
      <c r="P95" s="859">
        <f>P88*(1+'MSCOA - Tariff Structure'!$S$2)</f>
        <v>159905957.50443223</v>
      </c>
      <c r="Q95" s="859">
        <f>Q88*(1+'MSCOA - Tariff Structure'!$S$2)</f>
        <v>97672648.675263017</v>
      </c>
      <c r="R95" s="859">
        <f>R88*(1+'MSCOA - Tariff Structure'!$S$2)</f>
        <v>102027737.04707347</v>
      </c>
      <c r="S95" s="859">
        <f>S88*(1+'MSCOA - Tariff Structure'!$S$2)</f>
        <v>102727120.21176484</v>
      </c>
      <c r="T95" s="859">
        <f>T88*(1+'MSCOA - Tariff Structure'!$S$2)</f>
        <v>180746195.55436489</v>
      </c>
      <c r="U95" s="859">
        <f>U88*(1+'MSCOA - Tariff Structure'!$S$2)</f>
        <v>226086633.24851093</v>
      </c>
      <c r="V95" s="865">
        <f>SUM(J95:U95)</f>
        <v>1921462287.6473815</v>
      </c>
      <c r="W95" s="869"/>
    </row>
    <row r="96" spans="1:24" x14ac:dyDescent="0.35">
      <c r="A96" s="330"/>
      <c r="B96" s="330"/>
      <c r="I96" s="860" t="s">
        <v>297</v>
      </c>
      <c r="J96" s="859">
        <f>J89*(1+'MSCOA - Tariff Structure'!$S$2)</f>
        <v>211699906.37349042</v>
      </c>
      <c r="K96" s="859">
        <f>K89*(1+'MSCOA - Tariff Structure'!$S$2)</f>
        <v>204234061.73287633</v>
      </c>
      <c r="L96" s="859">
        <f>L89*(1+'MSCOA - Tariff Structure'!$S$2)</f>
        <v>155229147.85816771</v>
      </c>
      <c r="M96" s="859">
        <f>M89*(1+'MSCOA - Tariff Structure'!$S$2)</f>
        <v>148974564.29309177</v>
      </c>
      <c r="N96" s="859">
        <f>N89*(1+'MSCOA - Tariff Structure'!$S$2)</f>
        <v>153221100.62903544</v>
      </c>
      <c r="O96" s="859">
        <f>O89*(1+'MSCOA - Tariff Structure'!$S$2)</f>
        <v>128097210.08577412</v>
      </c>
      <c r="P96" s="859">
        <f>P89*(1+'MSCOA - Tariff Structure'!$S$2)</f>
        <v>132677429.10024527</v>
      </c>
      <c r="Q96" s="859">
        <f>Q89*(1+'MSCOA - Tariff Structure'!$S$2)</f>
        <v>126363165.63981685</v>
      </c>
      <c r="R96" s="859">
        <f>R89*(1+'MSCOA - Tariff Structure'!$S$2)</f>
        <v>130422997.90615904</v>
      </c>
      <c r="S96" s="859">
        <f>S89*(1+'MSCOA - Tariff Structure'!$S$2)</f>
        <v>125598430.60175039</v>
      </c>
      <c r="T96" s="859">
        <f>T89*(1+'MSCOA - Tariff Structure'!$S$2)</f>
        <v>133506562.35339312</v>
      </c>
      <c r="U96" s="859">
        <f>U89*(1+'MSCOA - Tariff Structure'!$S$2)</f>
        <v>202971594.87604615</v>
      </c>
      <c r="V96" s="865">
        <f>SUM(J96:U96)</f>
        <v>1852996171.4498467</v>
      </c>
      <c r="W96" s="869"/>
    </row>
    <row r="97" spans="9:22" x14ac:dyDescent="0.35">
      <c r="I97" s="860" t="s">
        <v>298</v>
      </c>
      <c r="J97" s="859">
        <f>J90*(1+'MSCOA - Tariff Structure'!$S$2)</f>
        <v>2905982.713890472</v>
      </c>
      <c r="K97" s="859">
        <f>K90*(1+'MSCOA - Tariff Structure'!$S$2)</f>
        <v>2842556.9000441981</v>
      </c>
      <c r="L97" s="859">
        <f>L90*(1+'MSCOA - Tariff Structure'!$S$2)</f>
        <v>2252498.6904122536</v>
      </c>
      <c r="M97" s="859">
        <f>M90*(1+'MSCOA - Tariff Structure'!$S$2)</f>
        <v>2244544.3402940184</v>
      </c>
      <c r="N97" s="859">
        <f>N90*(1+'MSCOA - Tariff Structure'!$S$2)</f>
        <v>2242339.1739246072</v>
      </c>
      <c r="O97" s="859">
        <f>O90*(1+'MSCOA - Tariff Structure'!$S$2)</f>
        <v>2238558.8887199014</v>
      </c>
      <c r="P97" s="859">
        <f>P90*(1+'MSCOA - Tariff Structure'!$S$2)</f>
        <v>2238007.5971275484</v>
      </c>
      <c r="Q97" s="859">
        <f>Q90*(1+'MSCOA - Tariff Structure'!$S$2)</f>
        <v>2241630.3704487248</v>
      </c>
      <c r="R97" s="859">
        <f>R90*(1+'MSCOA - Tariff Structure'!$S$2)</f>
        <v>2241630.3704487248</v>
      </c>
      <c r="S97" s="859">
        <f>S90*(1+'MSCOA - Tariff Structure'!$S$2)</f>
        <v>2243205.4892840185</v>
      </c>
      <c r="T97" s="859">
        <f>T90*(1+'MSCOA - Tariff Structure'!$S$2)</f>
        <v>2238322.6208946072</v>
      </c>
      <c r="U97" s="859">
        <f>U90*(1+'MSCOA - Tariff Structure'!$S$2)</f>
        <v>2846858.6508255703</v>
      </c>
      <c r="V97" s="865">
        <f>SUM(J97:U97)</f>
        <v>28776135.806314643</v>
      </c>
    </row>
    <row r="98" spans="9:22" x14ac:dyDescent="0.35">
      <c r="I98" s="861" t="s">
        <v>543</v>
      </c>
      <c r="J98" s="862">
        <f>J91*(1+'MSCOA - Tariff Structure'!$S$2)</f>
        <v>8529625.5200115144</v>
      </c>
      <c r="K98" s="862">
        <f>K91*(1+'MSCOA - Tariff Structure'!$S$2)</f>
        <v>8548688.5993138067</v>
      </c>
      <c r="L98" s="862">
        <f>L91*(1+'MSCOA - Tariff Structure'!$S$2)</f>
        <v>8283354.5677372022</v>
      </c>
      <c r="M98" s="862">
        <f>M91*(1+'MSCOA - Tariff Structure'!$S$2)</f>
        <v>8563976.8381363209</v>
      </c>
      <c r="N98" s="862">
        <f>N91*(1+'MSCOA - Tariff Structure'!$S$2)</f>
        <v>8323941.5441235751</v>
      </c>
      <c r="O98" s="862">
        <f>O91*(1+'MSCOA - Tariff Structure'!$S$2)</f>
        <v>8169441.8145422069</v>
      </c>
      <c r="P98" s="862">
        <f>P91*(1+'MSCOA - Tariff Structure'!$S$2)</f>
        <v>8181579.0187507374</v>
      </c>
      <c r="Q98" s="862">
        <f>Q91*(1+'MSCOA - Tariff Structure'!$S$2)</f>
        <v>8244471.804194944</v>
      </c>
      <c r="R98" s="862">
        <f>R91*(1+'MSCOA - Tariff Structure'!$S$2)</f>
        <v>8451907.6579407454</v>
      </c>
      <c r="S98" s="862">
        <f>S91*(1+'MSCOA - Tariff Structure'!$S$2)</f>
        <v>8140753.8773220414</v>
      </c>
      <c r="T98" s="862">
        <f>T91*(1+'MSCOA - Tariff Structure'!$S$2)</f>
        <v>8169441.8145422069</v>
      </c>
      <c r="U98" s="862">
        <f>U91*(1+'MSCOA - Tariff Structure'!$S$2)</f>
        <v>8182087.5598686533</v>
      </c>
      <c r="V98" s="857">
        <f>SUM(J98:U98)</f>
        <v>99789270.616483942</v>
      </c>
    </row>
    <row r="99" spans="9:22" x14ac:dyDescent="0.35">
      <c r="I99" s="868"/>
      <c r="J99" s="869"/>
      <c r="K99" s="869"/>
      <c r="L99" s="869"/>
      <c r="M99" s="869"/>
      <c r="N99" s="869"/>
      <c r="O99" s="869"/>
      <c r="P99" s="869"/>
      <c r="Q99" s="869"/>
      <c r="R99" s="869"/>
      <c r="S99" s="869"/>
      <c r="T99" s="869"/>
      <c r="U99" s="869"/>
      <c r="V99" s="869"/>
    </row>
    <row r="100" spans="9:22" ht="15.5" x14ac:dyDescent="0.35">
      <c r="I100" s="870" t="s">
        <v>1924</v>
      </c>
      <c r="J100" s="869"/>
      <c r="K100" s="869"/>
      <c r="L100" s="869"/>
      <c r="M100" s="869"/>
      <c r="N100" s="869"/>
      <c r="O100" s="869"/>
      <c r="P100" s="869"/>
      <c r="Q100" s="869"/>
      <c r="R100" s="869"/>
      <c r="S100" s="869"/>
      <c r="T100" s="869"/>
      <c r="U100" s="869"/>
      <c r="V100" s="869"/>
    </row>
    <row r="101" spans="9:22" ht="15" thickBot="1" x14ac:dyDescent="0.4">
      <c r="I101" s="854" t="s">
        <v>295</v>
      </c>
      <c r="J101" s="854">
        <f>SUM(J102:J105)</f>
        <v>460162051.73050451</v>
      </c>
      <c r="K101" s="854">
        <f t="shared" ref="K101:T101" si="17">SUM(K102:K105)</f>
        <v>439515452.69305617</v>
      </c>
      <c r="L101" s="854">
        <f t="shared" si="17"/>
        <v>366693745.59267563</v>
      </c>
      <c r="M101" s="854">
        <f t="shared" si="17"/>
        <v>360348323.16513491</v>
      </c>
      <c r="N101" s="854">
        <f t="shared" si="17"/>
        <v>364392234.79226756</v>
      </c>
      <c r="O101" s="854">
        <f t="shared" si="17"/>
        <v>337556540.09690565</v>
      </c>
      <c r="P101" s="854">
        <f t="shared" si="17"/>
        <v>333000267.56939077</v>
      </c>
      <c r="Q101" s="854">
        <f t="shared" si="17"/>
        <v>257739586.22220615</v>
      </c>
      <c r="R101" s="854">
        <f t="shared" si="17"/>
        <v>267215556.00680259</v>
      </c>
      <c r="S101" s="854">
        <f t="shared" si="17"/>
        <v>262341751.68795326</v>
      </c>
      <c r="T101" s="854">
        <f t="shared" si="17"/>
        <v>356801914.05517107</v>
      </c>
      <c r="U101" s="854">
        <f>SUM(U102:U105)</f>
        <v>483655804.59444118</v>
      </c>
      <c r="V101" s="854">
        <f>SUM(J101:U101)</f>
        <v>4289423228.2065096</v>
      </c>
    </row>
    <row r="102" spans="9:22" ht="15" thickTop="1" x14ac:dyDescent="0.35">
      <c r="I102" s="863" t="s">
        <v>296</v>
      </c>
      <c r="J102" s="624">
        <f>J95*(1+'MSCOA - Tariff Structure'!$T$2)</f>
        <v>214936121.17698026</v>
      </c>
      <c r="K102" s="624">
        <f>K95*(1+'MSCOA - Tariff Structure'!$T$2)</f>
        <v>202543240.04483068</v>
      </c>
      <c r="L102" s="624">
        <f>L95*(1+'MSCOA - Tariff Structure'!$T$2)</f>
        <v>184518009.36584303</v>
      </c>
      <c r="M102" s="624">
        <f>M95*(1+'MSCOA - Tariff Structure'!$T$2)</f>
        <v>184746712.23193207</v>
      </c>
      <c r="N102" s="624">
        <f>N95*(1+'MSCOA - Tariff Structure'!$T$2)</f>
        <v>184389902.69182268</v>
      </c>
      <c r="O102" s="624">
        <f>O95*(1+'MSCOA - Tariff Structure'!$T$2)</f>
        <v>185339313.43975487</v>
      </c>
      <c r="P102" s="624">
        <f>P95*(1+'MSCOA - Tariff Structure'!$T$2)</f>
        <v>175736647.29737103</v>
      </c>
      <c r="Q102" s="624">
        <f>Q95*(1+'MSCOA - Tariff Structure'!$T$2)</f>
        <v>107342240.89411405</v>
      </c>
      <c r="R102" s="624">
        <f>R95*(1+'MSCOA - Tariff Structure'!$T$2)</f>
        <v>112128483.01473375</v>
      </c>
      <c r="S102" s="624">
        <f>S95*(1+'MSCOA - Tariff Structure'!$T$2)</f>
        <v>112897105.11272956</v>
      </c>
      <c r="T102" s="624">
        <f>T95*(1+'MSCOA - Tariff Structure'!$T$2)</f>
        <v>198640068.91424701</v>
      </c>
      <c r="U102" s="880">
        <f>U95*(1+'MSCOA - Tariff Structure'!$T$2)</f>
        <v>248469209.94011351</v>
      </c>
      <c r="V102" s="866">
        <f>SUM(J102:U102)</f>
        <v>2111687054.1244726</v>
      </c>
    </row>
    <row r="103" spans="9:22" x14ac:dyDescent="0.35">
      <c r="I103" s="863" t="s">
        <v>297</v>
      </c>
      <c r="J103" s="624">
        <f>J96*(1+'MSCOA - Tariff Structure'!$T$2)</f>
        <v>232658197.10446596</v>
      </c>
      <c r="K103" s="624">
        <f>K96*(1+'MSCOA - Tariff Structure'!$T$2)</f>
        <v>224453233.84443107</v>
      </c>
      <c r="L103" s="624">
        <f>L96*(1+'MSCOA - Tariff Structure'!$T$2)</f>
        <v>170596833.49612629</v>
      </c>
      <c r="M103" s="624">
        <f>M96*(1+'MSCOA - Tariff Structure'!$T$2)</f>
        <v>163723046.15810785</v>
      </c>
      <c r="N103" s="624">
        <f>N96*(1+'MSCOA - Tariff Structure'!$T$2)</f>
        <v>168389989.59130993</v>
      </c>
      <c r="O103" s="624">
        <f>O96*(1+'MSCOA - Tariff Structure'!$T$2)</f>
        <v>140778833.88426575</v>
      </c>
      <c r="P103" s="624">
        <f>P96*(1+'MSCOA - Tariff Structure'!$T$2)</f>
        <v>145812494.58116955</v>
      </c>
      <c r="Q103" s="624">
        <f>Q96*(1+'MSCOA - Tariff Structure'!$T$2)</f>
        <v>138873119.03815871</v>
      </c>
      <c r="R103" s="624">
        <f>R96*(1+'MSCOA - Tariff Structure'!$T$2)</f>
        <v>143334874.69886878</v>
      </c>
      <c r="S103" s="624">
        <f>S96*(1+'MSCOA - Tariff Structure'!$T$2)</f>
        <v>138032675.23132366</v>
      </c>
      <c r="T103" s="624">
        <f>T96*(1+'MSCOA - Tariff Structure'!$T$2)</f>
        <v>146723712.02637905</v>
      </c>
      <c r="U103" s="880">
        <f>U96*(1+'MSCOA - Tariff Structure'!$T$2)</f>
        <v>223065782.76877472</v>
      </c>
      <c r="V103" s="866">
        <f>SUM(J103:U103)</f>
        <v>2036442792.4233813</v>
      </c>
    </row>
    <row r="104" spans="9:22" x14ac:dyDescent="0.35">
      <c r="I104" s="863" t="s">
        <v>298</v>
      </c>
      <c r="J104" s="624">
        <f>J97*(1+'MSCOA - Tariff Structure'!$T$2)</f>
        <v>3193675.0025656288</v>
      </c>
      <c r="K104" s="624">
        <f>K97*(1+'MSCOA - Tariff Structure'!$T$2)</f>
        <v>3123970.0331485737</v>
      </c>
      <c r="L104" s="624">
        <f>L97*(1+'MSCOA - Tariff Structure'!$T$2)</f>
        <v>2475496.0607630666</v>
      </c>
      <c r="M104" s="624">
        <f>M97*(1+'MSCOA - Tariff Structure'!$T$2)</f>
        <v>2466754.2299831263</v>
      </c>
      <c r="N104" s="624">
        <f>N97*(1+'MSCOA - Tariff Structure'!$T$2)</f>
        <v>2464330.7521431432</v>
      </c>
      <c r="O104" s="624">
        <f>O97*(1+'MSCOA - Tariff Structure'!$T$2)</f>
        <v>2460176.2187031717</v>
      </c>
      <c r="P104" s="624">
        <f>P97*(1+'MSCOA - Tariff Structure'!$T$2)</f>
        <v>2459570.3492431757</v>
      </c>
      <c r="Q104" s="624">
        <f>Q97*(1+'MSCOA - Tariff Structure'!$T$2)</f>
        <v>2463551.7771231486</v>
      </c>
      <c r="R104" s="624">
        <f>R97*(1+'MSCOA - Tariff Structure'!$T$2)</f>
        <v>2463551.7771231486</v>
      </c>
      <c r="S104" s="624">
        <f>S97*(1+'MSCOA - Tariff Structure'!$T$2)</f>
        <v>2465282.8327231365</v>
      </c>
      <c r="T104" s="624">
        <f>T97*(1+'MSCOA - Tariff Structure'!$T$2)</f>
        <v>2459916.560363173</v>
      </c>
      <c r="U104" s="880">
        <f>U97*(1+'MSCOA - Tariff Structure'!$T$2)</f>
        <v>3128697.6572573017</v>
      </c>
      <c r="V104" s="866">
        <f>SUM(J104:U104)</f>
        <v>31624973.251139797</v>
      </c>
    </row>
    <row r="105" spans="9:22" x14ac:dyDescent="0.35">
      <c r="I105" s="626" t="s">
        <v>543</v>
      </c>
      <c r="J105" s="864">
        <f>J98*(1+'MSCOA - Tariff Structure'!$T$2)</f>
        <v>9374058.4464926533</v>
      </c>
      <c r="K105" s="864">
        <f>K98*(1+'MSCOA - Tariff Structure'!$T$2)</f>
        <v>9395008.7706458736</v>
      </c>
      <c r="L105" s="864">
        <f>L98*(1+'MSCOA - Tariff Structure'!$T$2)</f>
        <v>9103406.6699431855</v>
      </c>
      <c r="M105" s="864">
        <f>M98*(1+'MSCOA - Tariff Structure'!$T$2)</f>
        <v>9411810.5451118164</v>
      </c>
      <c r="N105" s="864">
        <f>N98*(1+'MSCOA - Tariff Structure'!$T$2)</f>
        <v>9148011.7569918092</v>
      </c>
      <c r="O105" s="864">
        <f>O98*(1+'MSCOA - Tariff Structure'!$T$2)</f>
        <v>8978216.554181885</v>
      </c>
      <c r="P105" s="864">
        <f>P98*(1+'MSCOA - Tariff Structure'!$T$2)</f>
        <v>8991555.3416070603</v>
      </c>
      <c r="Q105" s="864">
        <f>Q98*(1+'MSCOA - Tariff Structure'!$T$2)</f>
        <v>9060674.5128102433</v>
      </c>
      <c r="R105" s="864">
        <f>R98*(1+'MSCOA - Tariff Structure'!$T$2)</f>
        <v>9288646.5160768796</v>
      </c>
      <c r="S105" s="864">
        <f>S98*(1+'MSCOA - Tariff Structure'!$T$2)</f>
        <v>8946688.5111769233</v>
      </c>
      <c r="T105" s="864">
        <f>T98*(1+'MSCOA - Tariff Structure'!$T$2)</f>
        <v>8978216.554181885</v>
      </c>
      <c r="U105" s="881">
        <f>U98*(1+'MSCOA - Tariff Structure'!$T$2)</f>
        <v>8992114.2282956503</v>
      </c>
      <c r="V105" s="858">
        <f>SUM(J105:U105)</f>
        <v>109668408.40751588</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AW110"/>
  <sheetViews>
    <sheetView topLeftCell="C1" workbookViewId="0">
      <selection activeCell="P23" sqref="P23"/>
    </sheetView>
  </sheetViews>
  <sheetFormatPr defaultColWidth="9.36328125" defaultRowHeight="12.5" x14ac:dyDescent="0.25"/>
  <cols>
    <col min="1" max="2" width="0" style="220" hidden="1" customWidth="1"/>
    <col min="3" max="3" width="12.54296875" style="220" customWidth="1"/>
    <col min="4" max="4" width="22.36328125" style="220" bestFit="1" customWidth="1"/>
    <col min="5" max="15" width="0" style="220" hidden="1" customWidth="1"/>
    <col min="16" max="16" width="51" style="220" bestFit="1" customWidth="1"/>
    <col min="17" max="17" width="51" style="220" hidden="1" customWidth="1"/>
    <col min="18" max="18" width="15.453125" style="220" hidden="1" customWidth="1"/>
    <col min="19" max="19" width="17" style="710" bestFit="1" customWidth="1"/>
    <col min="20" max="20" width="15.36328125" style="710" customWidth="1"/>
    <col min="21" max="22" width="17" style="710" bestFit="1" customWidth="1"/>
    <col min="23" max="23" width="25.54296875" style="220" bestFit="1" customWidth="1"/>
    <col min="24" max="16384" width="9.36328125" style="220"/>
  </cols>
  <sheetData>
    <row r="1" spans="2:49" ht="51.75" customHeight="1" x14ac:dyDescent="0.25">
      <c r="B1" s="749" t="s">
        <v>300</v>
      </c>
      <c r="C1" s="749" t="s">
        <v>1844</v>
      </c>
      <c r="D1" s="750" t="s">
        <v>301</v>
      </c>
      <c r="E1" s="751" t="s">
        <v>1845</v>
      </c>
      <c r="F1" s="751" t="s">
        <v>1846</v>
      </c>
      <c r="G1" s="751" t="s">
        <v>1847</v>
      </c>
      <c r="H1" s="752" t="s">
        <v>1848</v>
      </c>
      <c r="I1" s="753" t="s">
        <v>1849</v>
      </c>
      <c r="J1" s="751" t="s">
        <v>1850</v>
      </c>
      <c r="K1" s="753" t="s">
        <v>1851</v>
      </c>
      <c r="L1" s="752" t="s">
        <v>1852</v>
      </c>
      <c r="M1" s="752" t="s">
        <v>1853</v>
      </c>
      <c r="N1" s="752"/>
      <c r="O1" s="752" t="s">
        <v>1854</v>
      </c>
      <c r="P1" s="754" t="s">
        <v>94</v>
      </c>
      <c r="Q1" s="754"/>
      <c r="R1" s="755" t="s">
        <v>1855</v>
      </c>
      <c r="S1" s="747" t="s">
        <v>1856</v>
      </c>
      <c r="T1" s="748" t="s">
        <v>1885</v>
      </c>
      <c r="U1" s="748" t="s">
        <v>1886</v>
      </c>
      <c r="V1" s="748" t="s">
        <v>1887</v>
      </c>
      <c r="W1" s="690"/>
      <c r="X1" s="690"/>
      <c r="Y1" s="690"/>
      <c r="Z1" s="690"/>
      <c r="AA1" s="690"/>
      <c r="AB1" s="690"/>
      <c r="AC1" s="690"/>
      <c r="AD1" s="690"/>
      <c r="AE1" s="690"/>
      <c r="AF1" s="690"/>
      <c r="AG1" s="690"/>
      <c r="AH1" s="690"/>
      <c r="AI1" s="690"/>
      <c r="AJ1" s="690"/>
      <c r="AK1" s="690"/>
      <c r="AL1" s="690"/>
      <c r="AM1" s="690"/>
      <c r="AN1" s="690"/>
      <c r="AO1" s="690"/>
      <c r="AP1" s="690"/>
      <c r="AQ1" s="690"/>
      <c r="AR1" s="690">
        <v>0</v>
      </c>
      <c r="AS1" s="691">
        <v>0</v>
      </c>
      <c r="AT1" s="691">
        <v>0</v>
      </c>
      <c r="AU1" s="692">
        <v>0</v>
      </c>
      <c r="AV1" s="692">
        <v>0</v>
      </c>
      <c r="AW1" s="692">
        <v>0</v>
      </c>
    </row>
    <row r="2" spans="2:49" s="699" customFormat="1" x14ac:dyDescent="0.25">
      <c r="B2" s="693" t="s">
        <v>234</v>
      </c>
      <c r="C2" s="693" t="s">
        <v>1639</v>
      </c>
      <c r="D2" s="694" t="s">
        <v>1640</v>
      </c>
      <c r="E2" s="695" t="s">
        <v>1641</v>
      </c>
      <c r="F2" s="695" t="s">
        <v>1642</v>
      </c>
      <c r="G2" s="695" t="s">
        <v>144</v>
      </c>
      <c r="H2" s="695" t="s">
        <v>1494</v>
      </c>
      <c r="I2" s="695" t="s">
        <v>219</v>
      </c>
      <c r="J2" s="695" t="s">
        <v>144</v>
      </c>
      <c r="K2" s="695" t="s">
        <v>1495</v>
      </c>
      <c r="L2" s="695" t="s">
        <v>1496</v>
      </c>
      <c r="M2" s="695" t="s">
        <v>1497</v>
      </c>
      <c r="N2" s="695"/>
      <c r="O2" s="695" t="s">
        <v>136</v>
      </c>
      <c r="P2" s="693" t="s">
        <v>1643</v>
      </c>
      <c r="Q2" s="693"/>
      <c r="R2" s="696">
        <v>4756400</v>
      </c>
      <c r="S2" s="697">
        <v>-20731682</v>
      </c>
      <c r="T2" s="697">
        <v>-23470301.7817888</v>
      </c>
      <c r="U2" s="697">
        <v>-25371396.226113699</v>
      </c>
      <c r="V2" s="697">
        <v>-26695783.109116901</v>
      </c>
      <c r="W2" s="698"/>
      <c r="X2" s="698"/>
      <c r="Y2" s="698"/>
      <c r="Z2" s="698"/>
      <c r="AA2" s="698"/>
      <c r="AB2" s="698"/>
      <c r="AC2" s="698"/>
      <c r="AD2" s="698"/>
      <c r="AE2" s="698"/>
      <c r="AF2" s="698"/>
      <c r="AG2" s="698"/>
      <c r="AH2" s="698"/>
      <c r="AI2" s="698"/>
      <c r="AJ2" s="698"/>
      <c r="AK2" s="698"/>
      <c r="AL2" s="698"/>
      <c r="AM2" s="698"/>
      <c r="AN2" s="698"/>
      <c r="AO2" s="698"/>
      <c r="AP2" s="698"/>
      <c r="AQ2" s="698">
        <v>0</v>
      </c>
      <c r="AR2" s="698">
        <v>0</v>
      </c>
      <c r="AS2" s="698">
        <v>0</v>
      </c>
      <c r="AT2" s="699">
        <v>0</v>
      </c>
      <c r="AU2" s="699">
        <v>0</v>
      </c>
      <c r="AV2" s="699">
        <v>0</v>
      </c>
    </row>
    <row r="3" spans="2:49" s="699" customFormat="1" x14ac:dyDescent="0.25">
      <c r="B3" s="693" t="s">
        <v>234</v>
      </c>
      <c r="C3" s="693" t="s">
        <v>1639</v>
      </c>
      <c r="D3" s="694" t="s">
        <v>1644</v>
      </c>
      <c r="E3" s="695" t="s">
        <v>1641</v>
      </c>
      <c r="F3" s="695" t="s">
        <v>1642</v>
      </c>
      <c r="G3" s="695" t="s">
        <v>144</v>
      </c>
      <c r="H3" s="695" t="s">
        <v>1494</v>
      </c>
      <c r="I3" s="695" t="s">
        <v>219</v>
      </c>
      <c r="J3" s="695" t="s">
        <v>155</v>
      </c>
      <c r="K3" s="695" t="s">
        <v>1495</v>
      </c>
      <c r="L3" s="695" t="s">
        <v>1496</v>
      </c>
      <c r="M3" s="695" t="s">
        <v>1497</v>
      </c>
      <c r="N3" s="695"/>
      <c r="O3" s="695" t="s">
        <v>136</v>
      </c>
      <c r="P3" s="693" t="s">
        <v>1645</v>
      </c>
      <c r="Q3" s="693"/>
      <c r="R3" s="696">
        <v>10617249</v>
      </c>
      <c r="S3" s="697">
        <v>-54159627</v>
      </c>
      <c r="T3" s="697">
        <v>-58103289.069431402</v>
      </c>
      <c r="U3" s="697">
        <v>-62809655.484055303</v>
      </c>
      <c r="V3" s="697">
        <v>-66088319.500322998</v>
      </c>
      <c r="W3" s="698"/>
      <c r="X3" s="698"/>
      <c r="Y3" s="698"/>
      <c r="Z3" s="698"/>
      <c r="AA3" s="698"/>
      <c r="AB3" s="698"/>
      <c r="AC3" s="698"/>
      <c r="AD3" s="698"/>
      <c r="AE3" s="698"/>
      <c r="AF3" s="698"/>
      <c r="AG3" s="698"/>
      <c r="AH3" s="698"/>
      <c r="AI3" s="698"/>
      <c r="AJ3" s="698"/>
      <c r="AK3" s="698"/>
      <c r="AL3" s="698"/>
      <c r="AM3" s="698"/>
      <c r="AN3" s="698"/>
      <c r="AO3" s="698"/>
      <c r="AP3" s="698"/>
      <c r="AQ3" s="698">
        <v>0</v>
      </c>
      <c r="AR3" s="698">
        <v>0</v>
      </c>
      <c r="AS3" s="698">
        <v>0</v>
      </c>
      <c r="AT3" s="699">
        <v>0</v>
      </c>
      <c r="AU3" s="699">
        <v>0</v>
      </c>
      <c r="AV3" s="699">
        <v>0</v>
      </c>
    </row>
    <row r="4" spans="2:49" s="699" customFormat="1" x14ac:dyDescent="0.25">
      <c r="B4" s="693" t="s">
        <v>234</v>
      </c>
      <c r="C4" s="693" t="s">
        <v>1639</v>
      </c>
      <c r="D4" s="694" t="s">
        <v>1646</v>
      </c>
      <c r="E4" s="695" t="s">
        <v>1641</v>
      </c>
      <c r="F4" s="695" t="s">
        <v>1642</v>
      </c>
      <c r="G4" s="695" t="s">
        <v>144</v>
      </c>
      <c r="H4" s="695" t="s">
        <v>1494</v>
      </c>
      <c r="I4" s="695" t="s">
        <v>219</v>
      </c>
      <c r="J4" s="695" t="s">
        <v>145</v>
      </c>
      <c r="K4" s="695" t="s">
        <v>1495</v>
      </c>
      <c r="L4" s="695" t="s">
        <v>1496</v>
      </c>
      <c r="M4" s="695" t="s">
        <v>1497</v>
      </c>
      <c r="N4" s="695"/>
      <c r="O4" s="695" t="s">
        <v>136</v>
      </c>
      <c r="P4" s="693" t="s">
        <v>1647</v>
      </c>
      <c r="Q4" s="693"/>
      <c r="R4" s="696">
        <v>-8119</v>
      </c>
      <c r="S4" s="697">
        <v>-17916</v>
      </c>
      <c r="T4" s="697">
        <v>-18982.888608707999</v>
      </c>
      <c r="U4" s="697">
        <v>-20520.502586013299</v>
      </c>
      <c r="V4" s="697">
        <v>-21591.672821003202</v>
      </c>
      <c r="W4" s="698"/>
      <c r="X4" s="698"/>
      <c r="Y4" s="698"/>
      <c r="Z4" s="698"/>
      <c r="AA4" s="698"/>
      <c r="AB4" s="698"/>
      <c r="AC4" s="698"/>
      <c r="AD4" s="698"/>
      <c r="AE4" s="698"/>
      <c r="AF4" s="698"/>
      <c r="AG4" s="698"/>
      <c r="AH4" s="698"/>
      <c r="AI4" s="698"/>
      <c r="AJ4" s="698"/>
      <c r="AK4" s="698"/>
      <c r="AL4" s="698"/>
      <c r="AM4" s="698"/>
      <c r="AN4" s="698"/>
      <c r="AO4" s="698"/>
      <c r="AP4" s="698"/>
      <c r="AQ4" s="698">
        <v>0</v>
      </c>
      <c r="AR4" s="698">
        <v>0</v>
      </c>
      <c r="AS4" s="698">
        <v>0</v>
      </c>
      <c r="AT4" s="699">
        <v>0</v>
      </c>
      <c r="AU4" s="699">
        <v>0</v>
      </c>
      <c r="AV4" s="699">
        <v>0</v>
      </c>
    </row>
    <row r="5" spans="2:49" s="699" customFormat="1" x14ac:dyDescent="0.25">
      <c r="B5" s="693" t="s">
        <v>234</v>
      </c>
      <c r="C5" s="693" t="s">
        <v>1639</v>
      </c>
      <c r="D5" s="694" t="s">
        <v>1648</v>
      </c>
      <c r="E5" s="695" t="s">
        <v>1641</v>
      </c>
      <c r="F5" s="695" t="s">
        <v>1642</v>
      </c>
      <c r="G5" s="695" t="s">
        <v>144</v>
      </c>
      <c r="H5" s="695" t="s">
        <v>1494</v>
      </c>
      <c r="I5" s="695" t="s">
        <v>219</v>
      </c>
      <c r="J5" s="695" t="s">
        <v>146</v>
      </c>
      <c r="K5" s="695" t="s">
        <v>1495</v>
      </c>
      <c r="L5" s="695" t="s">
        <v>1496</v>
      </c>
      <c r="M5" s="695" t="s">
        <v>1497</v>
      </c>
      <c r="N5" s="695"/>
      <c r="O5" s="695" t="s">
        <v>136</v>
      </c>
      <c r="P5" s="693" t="s">
        <v>1649</v>
      </c>
      <c r="Q5" s="693"/>
      <c r="R5" s="696">
        <v>-13290</v>
      </c>
      <c r="S5" s="697">
        <v>-27276</v>
      </c>
      <c r="T5" s="697">
        <v>-27721.188715292999</v>
      </c>
      <c r="U5" s="697">
        <v>-29966.605001231699</v>
      </c>
      <c r="V5" s="697">
        <v>-31530.861782296</v>
      </c>
      <c r="W5" s="698"/>
      <c r="X5" s="698"/>
      <c r="Y5" s="698"/>
      <c r="Z5" s="698"/>
      <c r="AA5" s="698"/>
      <c r="AB5" s="698"/>
      <c r="AC5" s="698"/>
      <c r="AD5" s="698"/>
      <c r="AE5" s="698"/>
      <c r="AF5" s="698"/>
      <c r="AG5" s="698"/>
      <c r="AH5" s="698"/>
      <c r="AI5" s="698"/>
      <c r="AJ5" s="698"/>
      <c r="AK5" s="698"/>
      <c r="AL5" s="698"/>
      <c r="AM5" s="698"/>
      <c r="AN5" s="698"/>
      <c r="AO5" s="698"/>
      <c r="AP5" s="698"/>
      <c r="AQ5" s="698">
        <v>0</v>
      </c>
      <c r="AR5" s="698">
        <v>0</v>
      </c>
      <c r="AS5" s="698">
        <v>0</v>
      </c>
      <c r="AT5" s="699">
        <v>0</v>
      </c>
      <c r="AU5" s="699">
        <v>0</v>
      </c>
      <c r="AV5" s="699">
        <v>0</v>
      </c>
    </row>
    <row r="6" spans="2:49" s="699" customFormat="1" x14ac:dyDescent="0.25">
      <c r="B6" s="693" t="s">
        <v>234</v>
      </c>
      <c r="C6" s="693" t="s">
        <v>1639</v>
      </c>
      <c r="D6" s="694" t="s">
        <v>1650</v>
      </c>
      <c r="E6" s="695" t="s">
        <v>1641</v>
      </c>
      <c r="F6" s="695" t="s">
        <v>1642</v>
      </c>
      <c r="G6" s="695" t="s">
        <v>144</v>
      </c>
      <c r="H6" s="695" t="s">
        <v>1494</v>
      </c>
      <c r="I6" s="695" t="s">
        <v>219</v>
      </c>
      <c r="J6" s="695" t="s">
        <v>147</v>
      </c>
      <c r="K6" s="695" t="s">
        <v>1495</v>
      </c>
      <c r="L6" s="695" t="s">
        <v>1496</v>
      </c>
      <c r="M6" s="695" t="s">
        <v>1497</v>
      </c>
      <c r="N6" s="695"/>
      <c r="O6" s="695" t="s">
        <v>136</v>
      </c>
      <c r="P6" s="693" t="s">
        <v>1651</v>
      </c>
      <c r="Q6" s="693"/>
      <c r="R6" s="696">
        <v>-11065</v>
      </c>
      <c r="S6" s="697">
        <v>-22528</v>
      </c>
      <c r="T6" s="697">
        <v>-23597.89601778</v>
      </c>
      <c r="U6" s="697">
        <v>-25509.325595220202</v>
      </c>
      <c r="V6" s="697">
        <v>-26840.912391290702</v>
      </c>
      <c r="W6" s="698"/>
      <c r="X6" s="698"/>
      <c r="Y6" s="698"/>
      <c r="Z6" s="698"/>
      <c r="AA6" s="698"/>
      <c r="AB6" s="698"/>
      <c r="AC6" s="698"/>
      <c r="AD6" s="698"/>
      <c r="AE6" s="698"/>
      <c r="AF6" s="698"/>
      <c r="AG6" s="698"/>
      <c r="AH6" s="698"/>
      <c r="AI6" s="698"/>
      <c r="AJ6" s="698"/>
      <c r="AK6" s="698"/>
      <c r="AL6" s="698"/>
      <c r="AM6" s="698"/>
      <c r="AN6" s="698"/>
      <c r="AO6" s="698"/>
      <c r="AP6" s="698"/>
      <c r="AQ6" s="698">
        <v>0</v>
      </c>
      <c r="AR6" s="698">
        <v>0</v>
      </c>
      <c r="AS6" s="698">
        <v>0</v>
      </c>
      <c r="AT6" s="699">
        <v>0</v>
      </c>
      <c r="AU6" s="699">
        <v>0</v>
      </c>
      <c r="AV6" s="699">
        <v>0</v>
      </c>
    </row>
    <row r="7" spans="2:49" s="699" customFormat="1" x14ac:dyDescent="0.25">
      <c r="B7" s="693" t="s">
        <v>234</v>
      </c>
      <c r="C7" s="693" t="s">
        <v>1639</v>
      </c>
      <c r="D7" s="694" t="s">
        <v>1652</v>
      </c>
      <c r="E7" s="695" t="s">
        <v>1641</v>
      </c>
      <c r="F7" s="695" t="s">
        <v>1642</v>
      </c>
      <c r="G7" s="695" t="s">
        <v>144</v>
      </c>
      <c r="H7" s="695" t="s">
        <v>1494</v>
      </c>
      <c r="I7" s="695" t="s">
        <v>219</v>
      </c>
      <c r="J7" s="695" t="s">
        <v>148</v>
      </c>
      <c r="K7" s="695" t="s">
        <v>1495</v>
      </c>
      <c r="L7" s="695" t="s">
        <v>1496</v>
      </c>
      <c r="M7" s="695" t="s">
        <v>1497</v>
      </c>
      <c r="N7" s="695"/>
      <c r="O7" s="695" t="s">
        <v>136</v>
      </c>
      <c r="P7" s="693" t="s">
        <v>1653</v>
      </c>
      <c r="Q7" s="693"/>
      <c r="R7" s="700">
        <v>-15988</v>
      </c>
      <c r="S7" s="697">
        <v>-31169</v>
      </c>
      <c r="T7" s="697">
        <v>-38986.068025884</v>
      </c>
      <c r="U7" s="697">
        <v>-42143.9395359806</v>
      </c>
      <c r="V7" s="697">
        <v>-44343.8531797588</v>
      </c>
      <c r="W7" s="698"/>
      <c r="X7" s="698"/>
      <c r="Y7" s="698"/>
      <c r="Z7" s="698"/>
      <c r="AA7" s="698"/>
      <c r="AB7" s="698"/>
      <c r="AC7" s="698"/>
      <c r="AD7" s="698"/>
      <c r="AE7" s="698"/>
      <c r="AF7" s="698"/>
      <c r="AG7" s="698"/>
      <c r="AH7" s="698"/>
      <c r="AI7" s="698"/>
      <c r="AJ7" s="698"/>
      <c r="AK7" s="698"/>
      <c r="AL7" s="698"/>
      <c r="AM7" s="698"/>
      <c r="AN7" s="698"/>
      <c r="AO7" s="698"/>
      <c r="AP7" s="698"/>
      <c r="AQ7" s="698">
        <v>0</v>
      </c>
      <c r="AR7" s="698">
        <v>0</v>
      </c>
      <c r="AS7" s="698">
        <v>0</v>
      </c>
      <c r="AT7" s="699">
        <v>0</v>
      </c>
      <c r="AU7" s="699">
        <v>0</v>
      </c>
      <c r="AV7" s="699">
        <v>0</v>
      </c>
    </row>
    <row r="8" spans="2:49" s="699" customFormat="1" x14ac:dyDescent="0.25">
      <c r="B8" s="693" t="s">
        <v>234</v>
      </c>
      <c r="C8" s="693" t="s">
        <v>1639</v>
      </c>
      <c r="D8" s="694" t="s">
        <v>1654</v>
      </c>
      <c r="E8" s="695" t="s">
        <v>1641</v>
      </c>
      <c r="F8" s="695" t="s">
        <v>1642</v>
      </c>
      <c r="G8" s="695" t="s">
        <v>144</v>
      </c>
      <c r="H8" s="695" t="s">
        <v>1494</v>
      </c>
      <c r="I8" s="695" t="s">
        <v>219</v>
      </c>
      <c r="J8" s="695" t="s">
        <v>149</v>
      </c>
      <c r="K8" s="695" t="s">
        <v>1495</v>
      </c>
      <c r="L8" s="695" t="s">
        <v>1496</v>
      </c>
      <c r="M8" s="695" t="s">
        <v>1497</v>
      </c>
      <c r="N8" s="695"/>
      <c r="O8" s="695" t="s">
        <v>136</v>
      </c>
      <c r="P8" s="693" t="s">
        <v>1655</v>
      </c>
      <c r="Q8" s="693"/>
      <c r="R8" s="700">
        <v>-21926</v>
      </c>
      <c r="S8" s="697">
        <v>-43232</v>
      </c>
      <c r="T8" s="697">
        <v>-55330.507216356003</v>
      </c>
      <c r="U8" s="697">
        <v>-59812.278300880796</v>
      </c>
      <c r="V8" s="697">
        <v>-62934.479228186799</v>
      </c>
      <c r="W8" s="698"/>
      <c r="X8" s="698"/>
      <c r="Y8" s="698"/>
      <c r="Z8" s="698"/>
      <c r="AA8" s="698"/>
      <c r="AB8" s="698"/>
      <c r="AC8" s="698"/>
      <c r="AD8" s="698"/>
      <c r="AE8" s="698"/>
      <c r="AF8" s="698"/>
      <c r="AG8" s="698"/>
      <c r="AH8" s="698"/>
      <c r="AI8" s="698"/>
      <c r="AJ8" s="698"/>
      <c r="AK8" s="698"/>
      <c r="AL8" s="698"/>
      <c r="AM8" s="698"/>
      <c r="AN8" s="698"/>
      <c r="AO8" s="698"/>
      <c r="AP8" s="698"/>
      <c r="AQ8" s="698">
        <v>0</v>
      </c>
      <c r="AR8" s="698">
        <v>0</v>
      </c>
      <c r="AS8" s="698">
        <v>0</v>
      </c>
      <c r="AT8" s="699">
        <v>0</v>
      </c>
      <c r="AU8" s="699">
        <v>0</v>
      </c>
      <c r="AV8" s="699">
        <v>0</v>
      </c>
    </row>
    <row r="9" spans="2:49" s="699" customFormat="1" x14ac:dyDescent="0.25">
      <c r="B9" s="693" t="s">
        <v>234</v>
      </c>
      <c r="C9" s="693" t="s">
        <v>1639</v>
      </c>
      <c r="D9" s="694" t="s">
        <v>1656</v>
      </c>
      <c r="E9" s="695" t="s">
        <v>1641</v>
      </c>
      <c r="F9" s="695" t="s">
        <v>1642</v>
      </c>
      <c r="G9" s="695" t="s">
        <v>144</v>
      </c>
      <c r="H9" s="695" t="s">
        <v>1494</v>
      </c>
      <c r="I9" s="695" t="s">
        <v>219</v>
      </c>
      <c r="J9" s="695" t="s">
        <v>150</v>
      </c>
      <c r="K9" s="695" t="s">
        <v>1495</v>
      </c>
      <c r="L9" s="695" t="s">
        <v>1496</v>
      </c>
      <c r="M9" s="695" t="s">
        <v>1497</v>
      </c>
      <c r="N9" s="695"/>
      <c r="O9" s="695" t="s">
        <v>136</v>
      </c>
      <c r="P9" s="693" t="s">
        <v>1657</v>
      </c>
      <c r="Q9" s="693"/>
      <c r="R9" s="700">
        <v>-33942</v>
      </c>
      <c r="S9" s="697">
        <v>-58728</v>
      </c>
      <c r="T9" s="697">
        <v>-46453.198693473001</v>
      </c>
      <c r="U9" s="697">
        <v>-50215.907787644297</v>
      </c>
      <c r="V9" s="697">
        <v>-52837.1781741593</v>
      </c>
      <c r="W9" s="698"/>
      <c r="X9" s="698"/>
      <c r="Y9" s="698"/>
      <c r="Z9" s="698"/>
      <c r="AA9" s="698"/>
      <c r="AB9" s="698"/>
      <c r="AC9" s="698"/>
      <c r="AD9" s="698"/>
      <c r="AE9" s="698"/>
      <c r="AF9" s="698"/>
      <c r="AG9" s="698"/>
      <c r="AH9" s="698"/>
      <c r="AI9" s="698"/>
      <c r="AJ9" s="698"/>
      <c r="AK9" s="698"/>
      <c r="AL9" s="698"/>
      <c r="AM9" s="698"/>
      <c r="AN9" s="698"/>
      <c r="AO9" s="698"/>
      <c r="AP9" s="698"/>
      <c r="AQ9" s="698">
        <v>0</v>
      </c>
      <c r="AR9" s="698">
        <v>0</v>
      </c>
      <c r="AS9" s="698">
        <v>0</v>
      </c>
      <c r="AT9" s="699">
        <v>0</v>
      </c>
      <c r="AU9" s="699">
        <v>0</v>
      </c>
      <c r="AV9" s="699">
        <v>0</v>
      </c>
    </row>
    <row r="10" spans="2:49" s="699" customFormat="1" x14ac:dyDescent="0.25">
      <c r="B10" s="693" t="s">
        <v>234</v>
      </c>
      <c r="C10" s="693" t="s">
        <v>1639</v>
      </c>
      <c r="D10" s="694" t="s">
        <v>1658</v>
      </c>
      <c r="E10" s="695" t="s">
        <v>1641</v>
      </c>
      <c r="F10" s="695" t="s">
        <v>1642</v>
      </c>
      <c r="G10" s="695" t="s">
        <v>144</v>
      </c>
      <c r="H10" s="695" t="s">
        <v>1494</v>
      </c>
      <c r="I10" s="695" t="s">
        <v>219</v>
      </c>
      <c r="J10" s="695" t="s">
        <v>151</v>
      </c>
      <c r="K10" s="695" t="s">
        <v>1495</v>
      </c>
      <c r="L10" s="695" t="s">
        <v>1496</v>
      </c>
      <c r="M10" s="695" t="s">
        <v>1497</v>
      </c>
      <c r="N10" s="695"/>
      <c r="O10" s="695" t="s">
        <v>136</v>
      </c>
      <c r="P10" s="693" t="s">
        <v>1659</v>
      </c>
      <c r="Q10" s="693"/>
      <c r="R10" s="700">
        <v>-15185</v>
      </c>
      <c r="S10" s="697">
        <v>-28432</v>
      </c>
      <c r="T10" s="697">
        <v>-31448.837520000001</v>
      </c>
      <c r="U10" s="697">
        <v>-33996.19335912</v>
      </c>
      <c r="V10" s="697">
        <v>-35770.794652466102</v>
      </c>
      <c r="W10" s="698"/>
      <c r="X10" s="698"/>
      <c r="Y10" s="698"/>
      <c r="Z10" s="698"/>
      <c r="AA10" s="698"/>
      <c r="AB10" s="698"/>
      <c r="AC10" s="698"/>
      <c r="AD10" s="698"/>
      <c r="AE10" s="698"/>
      <c r="AF10" s="698"/>
      <c r="AG10" s="698"/>
      <c r="AH10" s="698"/>
      <c r="AI10" s="698"/>
      <c r="AJ10" s="698"/>
      <c r="AK10" s="698"/>
      <c r="AL10" s="698"/>
      <c r="AM10" s="698"/>
      <c r="AN10" s="698"/>
      <c r="AO10" s="698"/>
      <c r="AP10" s="698"/>
      <c r="AQ10" s="698">
        <v>0</v>
      </c>
      <c r="AR10" s="698">
        <v>0</v>
      </c>
      <c r="AS10" s="698">
        <v>0</v>
      </c>
      <c r="AT10" s="699">
        <v>0</v>
      </c>
      <c r="AU10" s="699">
        <v>0</v>
      </c>
      <c r="AV10" s="699">
        <v>0</v>
      </c>
    </row>
    <row r="11" spans="2:49" s="699" customFormat="1" x14ac:dyDescent="0.25">
      <c r="B11" s="693" t="s">
        <v>234</v>
      </c>
      <c r="C11" s="693" t="s">
        <v>1660</v>
      </c>
      <c r="D11" s="694" t="s">
        <v>1661</v>
      </c>
      <c r="E11" s="695" t="s">
        <v>1641</v>
      </c>
      <c r="F11" s="695" t="s">
        <v>1642</v>
      </c>
      <c r="G11" s="695" t="s">
        <v>144</v>
      </c>
      <c r="H11" s="695" t="s">
        <v>1494</v>
      </c>
      <c r="I11" s="695" t="s">
        <v>220</v>
      </c>
      <c r="J11" s="695" t="s">
        <v>144</v>
      </c>
      <c r="K11" s="695" t="s">
        <v>1495</v>
      </c>
      <c r="L11" s="695" t="s">
        <v>1496</v>
      </c>
      <c r="M11" s="695" t="s">
        <v>1497</v>
      </c>
      <c r="N11" s="695"/>
      <c r="O11" s="695" t="s">
        <v>136</v>
      </c>
      <c r="P11" s="693" t="s">
        <v>1499</v>
      </c>
      <c r="Q11" s="693"/>
      <c r="R11" s="700">
        <v>-3012983</v>
      </c>
      <c r="S11" s="697">
        <v>-4910171</v>
      </c>
      <c r="T11" s="697">
        <v>-5374147.8105955599</v>
      </c>
      <c r="U11" s="697">
        <v>-5809453.7832538001</v>
      </c>
      <c r="V11" s="697">
        <v>-6112707.2707396504</v>
      </c>
      <c r="W11" s="698"/>
      <c r="X11" s="698"/>
      <c r="Y11" s="698"/>
      <c r="Z11" s="698"/>
      <c r="AA11" s="698"/>
      <c r="AB11" s="698"/>
      <c r="AC11" s="698"/>
      <c r="AD11" s="698"/>
      <c r="AE11" s="698"/>
      <c r="AF11" s="698"/>
      <c r="AG11" s="698"/>
      <c r="AH11" s="698"/>
      <c r="AI11" s="698"/>
      <c r="AJ11" s="698"/>
      <c r="AK11" s="698"/>
      <c r="AL11" s="698"/>
      <c r="AM11" s="698"/>
      <c r="AN11" s="698"/>
      <c r="AO11" s="698"/>
      <c r="AP11" s="698"/>
      <c r="AQ11" s="698">
        <v>0</v>
      </c>
      <c r="AR11" s="698">
        <v>0</v>
      </c>
      <c r="AS11" s="698">
        <v>0</v>
      </c>
      <c r="AT11" s="699">
        <v>0</v>
      </c>
      <c r="AU11" s="699">
        <v>0</v>
      </c>
      <c r="AV11" s="699">
        <v>0</v>
      </c>
    </row>
    <row r="12" spans="2:49" s="699" customFormat="1" x14ac:dyDescent="0.25">
      <c r="B12" s="693" t="s">
        <v>234</v>
      </c>
      <c r="C12" s="693" t="s">
        <v>1660</v>
      </c>
      <c r="D12" s="694" t="s">
        <v>1662</v>
      </c>
      <c r="E12" s="695" t="s">
        <v>1641</v>
      </c>
      <c r="F12" s="695" t="s">
        <v>1642</v>
      </c>
      <c r="G12" s="695" t="s">
        <v>144</v>
      </c>
      <c r="H12" s="695" t="s">
        <v>1494</v>
      </c>
      <c r="I12" s="695" t="s">
        <v>220</v>
      </c>
      <c r="J12" s="695" t="s">
        <v>155</v>
      </c>
      <c r="K12" s="695" t="s">
        <v>1495</v>
      </c>
      <c r="L12" s="695" t="s">
        <v>1496</v>
      </c>
      <c r="M12" s="695" t="s">
        <v>1497</v>
      </c>
      <c r="N12" s="695"/>
      <c r="O12" s="695" t="s">
        <v>136</v>
      </c>
      <c r="P12" s="693" t="s">
        <v>1500</v>
      </c>
      <c r="Q12" s="693"/>
      <c r="R12" s="700">
        <v>-5106814</v>
      </c>
      <c r="S12" s="697">
        <v>-7947909</v>
      </c>
      <c r="T12" s="697">
        <v>-8368386.89096897</v>
      </c>
      <c r="U12" s="697">
        <v>-9046226.2291374598</v>
      </c>
      <c r="V12" s="697">
        <v>-9518439.2382984404</v>
      </c>
      <c r="W12" s="698"/>
      <c r="X12" s="698"/>
      <c r="Y12" s="698"/>
      <c r="Z12" s="698"/>
      <c r="AA12" s="698"/>
      <c r="AB12" s="698"/>
      <c r="AC12" s="698"/>
      <c r="AD12" s="698"/>
      <c r="AE12" s="698"/>
      <c r="AF12" s="698"/>
      <c r="AG12" s="698"/>
      <c r="AH12" s="698"/>
      <c r="AI12" s="698"/>
      <c r="AJ12" s="698"/>
      <c r="AK12" s="698"/>
      <c r="AL12" s="698"/>
      <c r="AM12" s="698"/>
      <c r="AN12" s="698"/>
      <c r="AO12" s="698"/>
      <c r="AP12" s="698"/>
      <c r="AQ12" s="698">
        <v>0</v>
      </c>
      <c r="AR12" s="698">
        <v>0</v>
      </c>
      <c r="AS12" s="698">
        <v>0</v>
      </c>
      <c r="AT12" s="699">
        <v>0</v>
      </c>
      <c r="AU12" s="699">
        <v>0</v>
      </c>
      <c r="AV12" s="699">
        <v>0</v>
      </c>
    </row>
    <row r="13" spans="2:49" s="699" customFormat="1" x14ac:dyDescent="0.25">
      <c r="B13" s="693" t="s">
        <v>234</v>
      </c>
      <c r="C13" s="693" t="s">
        <v>1660</v>
      </c>
      <c r="D13" s="694" t="s">
        <v>1663</v>
      </c>
      <c r="E13" s="695" t="s">
        <v>1641</v>
      </c>
      <c r="F13" s="695" t="s">
        <v>1642</v>
      </c>
      <c r="G13" s="695" t="s">
        <v>144</v>
      </c>
      <c r="H13" s="695" t="s">
        <v>1494</v>
      </c>
      <c r="I13" s="695" t="s">
        <v>220</v>
      </c>
      <c r="J13" s="695" t="s">
        <v>145</v>
      </c>
      <c r="K13" s="695" t="s">
        <v>1495</v>
      </c>
      <c r="L13" s="695" t="s">
        <v>1496</v>
      </c>
      <c r="M13" s="695" t="s">
        <v>1497</v>
      </c>
      <c r="N13" s="695"/>
      <c r="O13" s="695" t="s">
        <v>136</v>
      </c>
      <c r="P13" s="693" t="s">
        <v>1664</v>
      </c>
      <c r="Q13" s="693"/>
      <c r="R13" s="700">
        <v>-3076565</v>
      </c>
      <c r="S13" s="697">
        <v>-4797103</v>
      </c>
      <c r="T13" s="697">
        <v>-5049029.4804480299</v>
      </c>
      <c r="U13" s="697">
        <v>-5458000.8683643201</v>
      </c>
      <c r="V13" s="697">
        <v>-5742908.5136929397</v>
      </c>
      <c r="W13" s="698"/>
      <c r="X13" s="698"/>
      <c r="Y13" s="698"/>
      <c r="Z13" s="698"/>
      <c r="AA13" s="698"/>
      <c r="AB13" s="698"/>
      <c r="AC13" s="698"/>
      <c r="AD13" s="698"/>
      <c r="AE13" s="698"/>
      <c r="AF13" s="698"/>
      <c r="AG13" s="698"/>
      <c r="AH13" s="698"/>
      <c r="AI13" s="698"/>
      <c r="AJ13" s="698"/>
      <c r="AK13" s="698"/>
      <c r="AL13" s="698"/>
      <c r="AM13" s="698"/>
      <c r="AN13" s="698"/>
      <c r="AO13" s="698"/>
      <c r="AP13" s="698"/>
      <c r="AQ13" s="698">
        <v>0</v>
      </c>
      <c r="AR13" s="698">
        <v>0</v>
      </c>
      <c r="AS13" s="698">
        <v>0</v>
      </c>
      <c r="AT13" s="699">
        <v>0</v>
      </c>
      <c r="AU13" s="699">
        <v>0</v>
      </c>
      <c r="AV13" s="699">
        <v>0</v>
      </c>
    </row>
    <row r="14" spans="2:49" s="699" customFormat="1" x14ac:dyDescent="0.25">
      <c r="B14" s="693" t="s">
        <v>234</v>
      </c>
      <c r="C14" s="693" t="s">
        <v>1660</v>
      </c>
      <c r="D14" s="694" t="s">
        <v>1665</v>
      </c>
      <c r="E14" s="695" t="s">
        <v>1641</v>
      </c>
      <c r="F14" s="695" t="s">
        <v>1642</v>
      </c>
      <c r="G14" s="695" t="s">
        <v>144</v>
      </c>
      <c r="H14" s="695" t="s">
        <v>1494</v>
      </c>
      <c r="I14" s="695" t="s">
        <v>220</v>
      </c>
      <c r="J14" s="695" t="s">
        <v>146</v>
      </c>
      <c r="K14" s="695" t="s">
        <v>1495</v>
      </c>
      <c r="L14" s="695" t="s">
        <v>1496</v>
      </c>
      <c r="M14" s="695" t="s">
        <v>1497</v>
      </c>
      <c r="N14" s="695"/>
      <c r="O14" s="695" t="s">
        <v>136</v>
      </c>
      <c r="P14" s="693" t="s">
        <v>1666</v>
      </c>
      <c r="Q14" s="693"/>
      <c r="R14" s="700">
        <v>-4186096</v>
      </c>
      <c r="S14" s="697">
        <v>-9695218</v>
      </c>
      <c r="T14" s="697">
        <v>-10997886.4448727</v>
      </c>
      <c r="U14" s="697">
        <v>-11888715.246907299</v>
      </c>
      <c r="V14" s="697">
        <v>-12509306.182795901</v>
      </c>
      <c r="W14" s="698"/>
      <c r="X14" s="698"/>
      <c r="Y14" s="698"/>
      <c r="Z14" s="698"/>
      <c r="AA14" s="698"/>
      <c r="AB14" s="698"/>
      <c r="AC14" s="698"/>
      <c r="AD14" s="698"/>
      <c r="AE14" s="698"/>
      <c r="AF14" s="698"/>
      <c r="AG14" s="698"/>
      <c r="AH14" s="698"/>
      <c r="AI14" s="698"/>
      <c r="AJ14" s="698"/>
      <c r="AK14" s="698"/>
      <c r="AL14" s="698"/>
      <c r="AM14" s="698"/>
      <c r="AN14" s="698"/>
      <c r="AO14" s="698"/>
      <c r="AP14" s="698"/>
      <c r="AQ14" s="698">
        <v>0</v>
      </c>
      <c r="AR14" s="698">
        <v>0</v>
      </c>
      <c r="AS14" s="698">
        <v>0</v>
      </c>
      <c r="AT14" s="699">
        <v>0</v>
      </c>
      <c r="AU14" s="699">
        <v>0</v>
      </c>
      <c r="AV14" s="699">
        <v>0</v>
      </c>
    </row>
    <row r="15" spans="2:49" s="699" customFormat="1" x14ac:dyDescent="0.25">
      <c r="B15" s="693" t="s">
        <v>234</v>
      </c>
      <c r="C15" s="693" t="s">
        <v>1660</v>
      </c>
      <c r="D15" s="694" t="s">
        <v>1667</v>
      </c>
      <c r="E15" s="695" t="s">
        <v>1641</v>
      </c>
      <c r="F15" s="695" t="s">
        <v>1642</v>
      </c>
      <c r="G15" s="695" t="s">
        <v>144</v>
      </c>
      <c r="H15" s="695" t="s">
        <v>1494</v>
      </c>
      <c r="I15" s="695" t="s">
        <v>220</v>
      </c>
      <c r="J15" s="695" t="s">
        <v>147</v>
      </c>
      <c r="K15" s="695" t="s">
        <v>1495</v>
      </c>
      <c r="L15" s="695" t="s">
        <v>1496</v>
      </c>
      <c r="M15" s="695" t="s">
        <v>1497</v>
      </c>
      <c r="N15" s="695"/>
      <c r="O15" s="695" t="s">
        <v>136</v>
      </c>
      <c r="P15" s="693" t="s">
        <v>1668</v>
      </c>
      <c r="Q15" s="693"/>
      <c r="R15" s="700">
        <v>-6678499</v>
      </c>
      <c r="S15" s="697">
        <v>-14841138</v>
      </c>
      <c r="T15" s="697">
        <v>-17210307.531196699</v>
      </c>
      <c r="U15" s="697">
        <v>-18604342.4412237</v>
      </c>
      <c r="V15" s="697">
        <v>-19575489.116655599</v>
      </c>
      <c r="W15" s="698"/>
      <c r="X15" s="698"/>
      <c r="Y15" s="698"/>
      <c r="Z15" s="698"/>
      <c r="AA15" s="698"/>
      <c r="AB15" s="698"/>
      <c r="AC15" s="698"/>
      <c r="AD15" s="698"/>
      <c r="AE15" s="698"/>
      <c r="AF15" s="698"/>
      <c r="AG15" s="698"/>
      <c r="AH15" s="698"/>
      <c r="AI15" s="698"/>
      <c r="AJ15" s="698"/>
      <c r="AK15" s="698"/>
      <c r="AL15" s="698"/>
      <c r="AM15" s="698"/>
      <c r="AN15" s="698"/>
      <c r="AO15" s="698"/>
      <c r="AP15" s="698"/>
      <c r="AQ15" s="698">
        <v>0</v>
      </c>
      <c r="AR15" s="698">
        <v>0</v>
      </c>
      <c r="AS15" s="698">
        <v>0</v>
      </c>
      <c r="AT15" s="699">
        <v>0</v>
      </c>
      <c r="AU15" s="699">
        <v>0</v>
      </c>
      <c r="AV15" s="699">
        <v>0</v>
      </c>
    </row>
    <row r="16" spans="2:49" s="699" customFormat="1" x14ac:dyDescent="0.25">
      <c r="B16" s="693" t="s">
        <v>234</v>
      </c>
      <c r="C16" s="693" t="s">
        <v>1660</v>
      </c>
      <c r="D16" s="694" t="s">
        <v>1669</v>
      </c>
      <c r="E16" s="695" t="s">
        <v>1641</v>
      </c>
      <c r="F16" s="695" t="s">
        <v>1642</v>
      </c>
      <c r="G16" s="695" t="s">
        <v>144</v>
      </c>
      <c r="H16" s="695" t="s">
        <v>1494</v>
      </c>
      <c r="I16" s="695" t="s">
        <v>220</v>
      </c>
      <c r="J16" s="695" t="s">
        <v>148</v>
      </c>
      <c r="K16" s="695" t="s">
        <v>1495</v>
      </c>
      <c r="L16" s="695" t="s">
        <v>1496</v>
      </c>
      <c r="M16" s="695" t="s">
        <v>1497</v>
      </c>
      <c r="N16" s="695"/>
      <c r="O16" s="695" t="s">
        <v>136</v>
      </c>
      <c r="P16" s="693" t="s">
        <v>1670</v>
      </c>
      <c r="Q16" s="693"/>
      <c r="R16" s="700">
        <v>-5442988</v>
      </c>
      <c r="S16" s="697">
        <v>-11725727</v>
      </c>
      <c r="T16" s="697">
        <v>-13437835.7344715</v>
      </c>
      <c r="U16" s="697">
        <v>-14526300.4289637</v>
      </c>
      <c r="V16" s="697">
        <v>-15284573.3113556</v>
      </c>
      <c r="W16" s="698"/>
      <c r="X16" s="698"/>
      <c r="Y16" s="698"/>
      <c r="Z16" s="698"/>
      <c r="AA16" s="698"/>
      <c r="AB16" s="698"/>
      <c r="AC16" s="698"/>
      <c r="AD16" s="698"/>
      <c r="AE16" s="698"/>
      <c r="AF16" s="698"/>
      <c r="AG16" s="698"/>
      <c r="AH16" s="698"/>
      <c r="AI16" s="698"/>
      <c r="AJ16" s="698"/>
      <c r="AK16" s="698"/>
      <c r="AL16" s="698"/>
      <c r="AM16" s="698"/>
      <c r="AN16" s="698"/>
      <c r="AO16" s="698"/>
      <c r="AP16" s="698"/>
      <c r="AQ16" s="698">
        <v>0</v>
      </c>
      <c r="AR16" s="698">
        <v>0</v>
      </c>
      <c r="AS16" s="698">
        <v>0</v>
      </c>
      <c r="AT16" s="699">
        <v>0</v>
      </c>
      <c r="AU16" s="699">
        <v>0</v>
      </c>
      <c r="AV16" s="699">
        <v>0</v>
      </c>
    </row>
    <row r="17" spans="2:48" s="699" customFormat="1" x14ac:dyDescent="0.25">
      <c r="B17" s="693" t="s">
        <v>234</v>
      </c>
      <c r="C17" s="693" t="s">
        <v>1660</v>
      </c>
      <c r="D17" s="694" t="s">
        <v>1671</v>
      </c>
      <c r="E17" s="695" t="s">
        <v>1641</v>
      </c>
      <c r="F17" s="695" t="s">
        <v>1642</v>
      </c>
      <c r="G17" s="695" t="s">
        <v>144</v>
      </c>
      <c r="H17" s="695" t="s">
        <v>1494</v>
      </c>
      <c r="I17" s="695" t="s">
        <v>220</v>
      </c>
      <c r="J17" s="695" t="s">
        <v>149</v>
      </c>
      <c r="K17" s="695" t="s">
        <v>1495</v>
      </c>
      <c r="L17" s="695" t="s">
        <v>1496</v>
      </c>
      <c r="M17" s="695" t="s">
        <v>1497</v>
      </c>
      <c r="N17" s="695"/>
      <c r="O17" s="695" t="s">
        <v>136</v>
      </c>
      <c r="P17" s="693" t="s">
        <v>1501</v>
      </c>
      <c r="Q17" s="693"/>
      <c r="R17" s="700">
        <v>-1834558</v>
      </c>
      <c r="S17" s="697">
        <v>-3337704</v>
      </c>
      <c r="T17" s="697">
        <v>-3739347.445266</v>
      </c>
      <c r="U17" s="697">
        <v>-4042234.5883325501</v>
      </c>
      <c r="V17" s="697">
        <v>-4253239.23384351</v>
      </c>
      <c r="W17" s="698"/>
      <c r="X17" s="698"/>
      <c r="Y17" s="698"/>
      <c r="Z17" s="698"/>
      <c r="AA17" s="698"/>
      <c r="AB17" s="698"/>
      <c r="AC17" s="698"/>
      <c r="AD17" s="698"/>
      <c r="AE17" s="698"/>
      <c r="AF17" s="698"/>
      <c r="AG17" s="698"/>
      <c r="AH17" s="698"/>
      <c r="AI17" s="698"/>
      <c r="AJ17" s="698"/>
      <c r="AK17" s="698"/>
      <c r="AL17" s="698"/>
      <c r="AM17" s="698"/>
      <c r="AN17" s="698"/>
      <c r="AO17" s="698"/>
      <c r="AP17" s="698"/>
      <c r="AQ17" s="698">
        <v>0</v>
      </c>
      <c r="AR17" s="698">
        <v>0</v>
      </c>
      <c r="AS17" s="698">
        <v>0</v>
      </c>
      <c r="AT17" s="699">
        <v>0</v>
      </c>
      <c r="AU17" s="699">
        <v>0</v>
      </c>
      <c r="AV17" s="699">
        <v>0</v>
      </c>
    </row>
    <row r="18" spans="2:48" s="699" customFormat="1" x14ac:dyDescent="0.25">
      <c r="B18" s="693" t="s">
        <v>234</v>
      </c>
      <c r="C18" s="693" t="s">
        <v>1672</v>
      </c>
      <c r="D18" s="694" t="s">
        <v>1673</v>
      </c>
      <c r="E18" s="695" t="s">
        <v>1641</v>
      </c>
      <c r="F18" s="695" t="s">
        <v>1642</v>
      </c>
      <c r="G18" s="695" t="s">
        <v>144</v>
      </c>
      <c r="H18" s="695" t="s">
        <v>1494</v>
      </c>
      <c r="I18" s="695" t="s">
        <v>221</v>
      </c>
      <c r="J18" s="695" t="s">
        <v>144</v>
      </c>
      <c r="K18" s="695" t="s">
        <v>1495</v>
      </c>
      <c r="L18" s="695" t="s">
        <v>1496</v>
      </c>
      <c r="M18" s="695" t="s">
        <v>1497</v>
      </c>
      <c r="N18" s="695"/>
      <c r="O18" s="695" t="s">
        <v>136</v>
      </c>
      <c r="P18" s="693" t="s">
        <v>1674</v>
      </c>
      <c r="Q18" s="693"/>
      <c r="R18" s="700">
        <v>-1298592</v>
      </c>
      <c r="S18" s="697">
        <v>-18906831</v>
      </c>
      <c r="T18" s="697">
        <v>-21178667.134472299</v>
      </c>
      <c r="U18" s="697">
        <v>-22894139.1723646</v>
      </c>
      <c r="V18" s="697">
        <v>-24089213.237162001</v>
      </c>
      <c r="W18" s="698"/>
      <c r="X18" s="698"/>
      <c r="Y18" s="698"/>
      <c r="Z18" s="698"/>
      <c r="AA18" s="698"/>
      <c r="AB18" s="698"/>
      <c r="AC18" s="698"/>
      <c r="AD18" s="698"/>
      <c r="AE18" s="698"/>
      <c r="AF18" s="698"/>
      <c r="AG18" s="698"/>
      <c r="AH18" s="698"/>
      <c r="AI18" s="698"/>
      <c r="AJ18" s="698"/>
      <c r="AK18" s="698"/>
      <c r="AL18" s="698"/>
      <c r="AM18" s="698"/>
      <c r="AN18" s="698"/>
      <c r="AO18" s="698"/>
      <c r="AP18" s="698"/>
      <c r="AQ18" s="698">
        <v>0</v>
      </c>
      <c r="AR18" s="698">
        <v>0</v>
      </c>
      <c r="AS18" s="698">
        <v>0</v>
      </c>
      <c r="AT18" s="699">
        <v>0</v>
      </c>
      <c r="AU18" s="699">
        <v>0</v>
      </c>
      <c r="AV18" s="699">
        <v>0</v>
      </c>
    </row>
    <row r="19" spans="2:48" s="699" customFormat="1" x14ac:dyDescent="0.25">
      <c r="B19" s="693" t="s">
        <v>234</v>
      </c>
      <c r="C19" s="693" t="s">
        <v>1672</v>
      </c>
      <c r="D19" s="694" t="s">
        <v>1675</v>
      </c>
      <c r="E19" s="695" t="s">
        <v>1641</v>
      </c>
      <c r="F19" s="695" t="s">
        <v>1642</v>
      </c>
      <c r="G19" s="695" t="s">
        <v>144</v>
      </c>
      <c r="H19" s="695" t="s">
        <v>1494</v>
      </c>
      <c r="I19" s="695" t="s">
        <v>221</v>
      </c>
      <c r="J19" s="695" t="s">
        <v>155</v>
      </c>
      <c r="K19" s="695" t="s">
        <v>1495</v>
      </c>
      <c r="L19" s="695" t="s">
        <v>1496</v>
      </c>
      <c r="M19" s="695" t="s">
        <v>1497</v>
      </c>
      <c r="N19" s="695"/>
      <c r="O19" s="695" t="s">
        <v>136</v>
      </c>
      <c r="P19" s="693" t="s">
        <v>1676</v>
      </c>
      <c r="Q19" s="693"/>
      <c r="R19" s="700">
        <v>-9722528</v>
      </c>
      <c r="S19" s="697">
        <v>-52455787</v>
      </c>
      <c r="T19" s="697">
        <v>-55818892.645483397</v>
      </c>
      <c r="U19" s="697">
        <v>-60340222.949767597</v>
      </c>
      <c r="V19" s="697">
        <v>-63489982.587745503</v>
      </c>
      <c r="W19" s="698"/>
      <c r="X19" s="698"/>
      <c r="Y19" s="698"/>
      <c r="Z19" s="698"/>
      <c r="AA19" s="698"/>
      <c r="AB19" s="698"/>
      <c r="AC19" s="698"/>
      <c r="AD19" s="698"/>
      <c r="AE19" s="698"/>
      <c r="AF19" s="698"/>
      <c r="AG19" s="698"/>
      <c r="AH19" s="698"/>
      <c r="AI19" s="698"/>
      <c r="AJ19" s="698"/>
      <c r="AK19" s="698"/>
      <c r="AL19" s="698"/>
      <c r="AM19" s="698"/>
      <c r="AN19" s="698"/>
      <c r="AO19" s="698"/>
      <c r="AP19" s="698"/>
      <c r="AQ19" s="698">
        <v>0</v>
      </c>
      <c r="AR19" s="698">
        <v>0</v>
      </c>
      <c r="AS19" s="698">
        <v>0</v>
      </c>
      <c r="AT19" s="699">
        <v>0</v>
      </c>
      <c r="AU19" s="699">
        <v>0</v>
      </c>
      <c r="AV19" s="699">
        <v>0</v>
      </c>
    </row>
    <row r="20" spans="2:48" s="699" customFormat="1" x14ac:dyDescent="0.25">
      <c r="B20" s="693" t="s">
        <v>234</v>
      </c>
      <c r="C20" s="693" t="s">
        <v>1677</v>
      </c>
      <c r="D20" s="694" t="s">
        <v>1678</v>
      </c>
      <c r="E20" s="695" t="s">
        <v>1641</v>
      </c>
      <c r="F20" s="695" t="s">
        <v>1642</v>
      </c>
      <c r="G20" s="695" t="s">
        <v>144</v>
      </c>
      <c r="H20" s="695" t="s">
        <v>1494</v>
      </c>
      <c r="I20" s="695" t="s">
        <v>222</v>
      </c>
      <c r="J20" s="695" t="s">
        <v>144</v>
      </c>
      <c r="K20" s="695" t="s">
        <v>1495</v>
      </c>
      <c r="L20" s="695" t="s">
        <v>1496</v>
      </c>
      <c r="M20" s="695" t="s">
        <v>1497</v>
      </c>
      <c r="N20" s="695"/>
      <c r="O20" s="695" t="s">
        <v>136</v>
      </c>
      <c r="P20" s="693" t="s">
        <v>1679</v>
      </c>
      <c r="Q20" s="693"/>
      <c r="R20" s="700">
        <v>20099537</v>
      </c>
      <c r="S20" s="697">
        <v>-43873975</v>
      </c>
      <c r="T20" s="697">
        <v>-46385497.296883002</v>
      </c>
      <c r="U20" s="697">
        <v>-50142722.577930503</v>
      </c>
      <c r="V20" s="697">
        <v>-52760172.696498498</v>
      </c>
      <c r="W20" s="698"/>
      <c r="X20" s="698"/>
      <c r="Y20" s="698"/>
      <c r="Z20" s="698"/>
      <c r="AA20" s="698"/>
      <c r="AB20" s="698"/>
      <c r="AC20" s="698"/>
      <c r="AD20" s="698"/>
      <c r="AE20" s="698"/>
      <c r="AF20" s="698"/>
      <c r="AG20" s="698"/>
      <c r="AH20" s="698"/>
      <c r="AI20" s="698"/>
      <c r="AJ20" s="698"/>
      <c r="AK20" s="698"/>
      <c r="AL20" s="698"/>
      <c r="AM20" s="698"/>
      <c r="AN20" s="698"/>
      <c r="AO20" s="698"/>
      <c r="AP20" s="698"/>
      <c r="AQ20" s="698">
        <v>0</v>
      </c>
      <c r="AR20" s="698">
        <v>0</v>
      </c>
      <c r="AS20" s="698">
        <v>0</v>
      </c>
      <c r="AT20" s="699">
        <v>0</v>
      </c>
      <c r="AU20" s="699">
        <v>0</v>
      </c>
      <c r="AV20" s="699">
        <v>0</v>
      </c>
    </row>
    <row r="21" spans="2:48" s="699" customFormat="1" x14ac:dyDescent="0.25">
      <c r="B21" s="693" t="s">
        <v>234</v>
      </c>
      <c r="C21" s="693" t="s">
        <v>1685</v>
      </c>
      <c r="D21" s="694" t="s">
        <v>1686</v>
      </c>
      <c r="E21" s="695" t="s">
        <v>1641</v>
      </c>
      <c r="F21" s="695" t="s">
        <v>1642</v>
      </c>
      <c r="G21" s="695" t="s">
        <v>144</v>
      </c>
      <c r="H21" s="695" t="s">
        <v>1494</v>
      </c>
      <c r="I21" s="695" t="s">
        <v>223</v>
      </c>
      <c r="J21" s="695" t="s">
        <v>553</v>
      </c>
      <c r="K21" s="695" t="s">
        <v>1495</v>
      </c>
      <c r="L21" s="695" t="s">
        <v>1496</v>
      </c>
      <c r="M21" s="695" t="s">
        <v>1497</v>
      </c>
      <c r="N21" s="695"/>
      <c r="O21" s="695" t="s">
        <v>136</v>
      </c>
      <c r="P21" s="693" t="s">
        <v>1687</v>
      </c>
      <c r="Q21" s="693"/>
      <c r="R21" s="700">
        <v>-573417979</v>
      </c>
      <c r="S21" s="697">
        <v>-573417979</v>
      </c>
      <c r="T21" s="697">
        <v>-574381959.05239797</v>
      </c>
      <c r="U21" s="697">
        <v>-620906897.73564196</v>
      </c>
      <c r="V21" s="697">
        <v>-653318237.79744303</v>
      </c>
      <c r="W21" s="698"/>
      <c r="X21" s="698"/>
      <c r="Y21" s="698"/>
      <c r="Z21" s="698"/>
      <c r="AA21" s="698"/>
      <c r="AB21" s="698"/>
      <c r="AC21" s="698"/>
      <c r="AD21" s="698"/>
      <c r="AE21" s="698"/>
      <c r="AF21" s="698"/>
      <c r="AG21" s="698"/>
      <c r="AH21" s="698"/>
      <c r="AI21" s="698"/>
      <c r="AJ21" s="698"/>
      <c r="AK21" s="698"/>
      <c r="AL21" s="698"/>
      <c r="AM21" s="698"/>
      <c r="AN21" s="698"/>
      <c r="AO21" s="698"/>
      <c r="AP21" s="698"/>
      <c r="AQ21" s="698">
        <v>0</v>
      </c>
      <c r="AR21" s="698">
        <v>0</v>
      </c>
      <c r="AS21" s="698">
        <v>0</v>
      </c>
      <c r="AT21" s="699">
        <v>0</v>
      </c>
      <c r="AU21" s="699">
        <v>0</v>
      </c>
      <c r="AV21" s="699">
        <v>0</v>
      </c>
    </row>
    <row r="22" spans="2:48" s="699" customFormat="1" x14ac:dyDescent="0.25">
      <c r="B22" s="693" t="s">
        <v>234</v>
      </c>
      <c r="C22" s="693" t="s">
        <v>1685</v>
      </c>
      <c r="D22" s="694" t="s">
        <v>1688</v>
      </c>
      <c r="E22" s="695" t="s">
        <v>1641</v>
      </c>
      <c r="F22" s="695" t="s">
        <v>1642</v>
      </c>
      <c r="G22" s="695" t="s">
        <v>144</v>
      </c>
      <c r="H22" s="695" t="s">
        <v>1494</v>
      </c>
      <c r="I22" s="695" t="s">
        <v>223</v>
      </c>
      <c r="J22" s="695" t="s">
        <v>144</v>
      </c>
      <c r="K22" s="695" t="s">
        <v>1495</v>
      </c>
      <c r="L22" s="695" t="s">
        <v>1496</v>
      </c>
      <c r="M22" s="695" t="s">
        <v>1497</v>
      </c>
      <c r="N22" s="695"/>
      <c r="O22" s="695" t="s">
        <v>136</v>
      </c>
      <c r="P22" s="693" t="s">
        <v>1689</v>
      </c>
      <c r="Q22" s="693"/>
      <c r="R22" s="700">
        <v>531354498</v>
      </c>
      <c r="S22" s="697">
        <v>-232218152</v>
      </c>
      <c r="T22" s="697">
        <v>-235763806.94922999</v>
      </c>
      <c r="U22" s="697">
        <v>-254860675.31211799</v>
      </c>
      <c r="V22" s="697">
        <v>-268164402.56341001</v>
      </c>
      <c r="W22" s="698"/>
      <c r="X22" s="698"/>
      <c r="Y22" s="698"/>
      <c r="Z22" s="698"/>
      <c r="AA22" s="698"/>
      <c r="AB22" s="698"/>
      <c r="AC22" s="698"/>
      <c r="AD22" s="698"/>
      <c r="AE22" s="698"/>
      <c r="AF22" s="698"/>
      <c r="AG22" s="698"/>
      <c r="AH22" s="698"/>
      <c r="AI22" s="698"/>
      <c r="AJ22" s="698"/>
      <c r="AK22" s="698"/>
      <c r="AL22" s="698"/>
      <c r="AM22" s="698"/>
      <c r="AN22" s="698"/>
      <c r="AO22" s="698"/>
      <c r="AP22" s="698"/>
      <c r="AQ22" s="698">
        <v>0</v>
      </c>
      <c r="AR22" s="698">
        <v>0</v>
      </c>
      <c r="AS22" s="698">
        <v>0</v>
      </c>
      <c r="AT22" s="699">
        <v>0</v>
      </c>
      <c r="AU22" s="699">
        <v>0</v>
      </c>
      <c r="AV22" s="699">
        <v>0</v>
      </c>
    </row>
    <row r="23" spans="2:48" s="699" customFormat="1" x14ac:dyDescent="0.25">
      <c r="B23" s="693" t="s">
        <v>234</v>
      </c>
      <c r="C23" s="693" t="s">
        <v>1690</v>
      </c>
      <c r="D23" s="694" t="s">
        <v>1691</v>
      </c>
      <c r="E23" s="695" t="s">
        <v>1641</v>
      </c>
      <c r="F23" s="695" t="s">
        <v>1642</v>
      </c>
      <c r="G23" s="695" t="s">
        <v>144</v>
      </c>
      <c r="H23" s="695" t="s">
        <v>1494</v>
      </c>
      <c r="I23" s="695" t="s">
        <v>224</v>
      </c>
      <c r="J23" s="695" t="s">
        <v>553</v>
      </c>
      <c r="K23" s="695" t="s">
        <v>1495</v>
      </c>
      <c r="L23" s="695" t="s">
        <v>1496</v>
      </c>
      <c r="M23" s="695" t="s">
        <v>1497</v>
      </c>
      <c r="N23" s="695"/>
      <c r="O23" s="695" t="s">
        <v>136</v>
      </c>
      <c r="P23" s="693" t="s">
        <v>1692</v>
      </c>
      <c r="Q23" s="693"/>
      <c r="R23" s="696">
        <v>-48661736.359999999</v>
      </c>
      <c r="S23" s="697">
        <v>-48661736.359999999</v>
      </c>
      <c r="T23" s="697">
        <v>-47914619.847629897</v>
      </c>
      <c r="U23" s="697">
        <v>-51795704.055287898</v>
      </c>
      <c r="V23" s="697">
        <v>-54499439.806973897</v>
      </c>
      <c r="W23" s="698"/>
      <c r="X23" s="698"/>
      <c r="Y23" s="698"/>
      <c r="Z23" s="698"/>
      <c r="AA23" s="698"/>
      <c r="AB23" s="698"/>
      <c r="AC23" s="698"/>
      <c r="AD23" s="698"/>
      <c r="AE23" s="698"/>
      <c r="AF23" s="698"/>
      <c r="AG23" s="698"/>
      <c r="AH23" s="698"/>
      <c r="AI23" s="698"/>
      <c r="AJ23" s="698"/>
      <c r="AK23" s="698"/>
      <c r="AL23" s="698"/>
      <c r="AM23" s="698"/>
      <c r="AN23" s="698"/>
      <c r="AO23" s="698"/>
      <c r="AP23" s="698"/>
      <c r="AQ23" s="698">
        <v>0</v>
      </c>
      <c r="AR23" s="698">
        <v>0</v>
      </c>
      <c r="AS23" s="698">
        <v>0</v>
      </c>
      <c r="AT23" s="699">
        <v>0</v>
      </c>
      <c r="AU23" s="699">
        <v>0</v>
      </c>
      <c r="AV23" s="699">
        <v>0</v>
      </c>
    </row>
    <row r="24" spans="2:48" s="782" customFormat="1" x14ac:dyDescent="0.25">
      <c r="B24" s="777" t="s">
        <v>234</v>
      </c>
      <c r="C24" s="777" t="s">
        <v>1693</v>
      </c>
      <c r="D24" s="778" t="s">
        <v>1694</v>
      </c>
      <c r="E24" s="779" t="s">
        <v>1641</v>
      </c>
      <c r="F24" s="779" t="s">
        <v>1642</v>
      </c>
      <c r="G24" s="779" t="s">
        <v>144</v>
      </c>
      <c r="H24" s="779" t="s">
        <v>1494</v>
      </c>
      <c r="I24" s="779" t="s">
        <v>225</v>
      </c>
      <c r="J24" s="779" t="s">
        <v>144</v>
      </c>
      <c r="K24" s="779" t="s">
        <v>1495</v>
      </c>
      <c r="L24" s="779" t="s">
        <v>1496</v>
      </c>
      <c r="M24" s="779" t="s">
        <v>1497</v>
      </c>
      <c r="N24" s="779"/>
      <c r="O24" s="779" t="s">
        <v>136</v>
      </c>
      <c r="P24" s="777" t="s">
        <v>1502</v>
      </c>
      <c r="Q24" s="777"/>
      <c r="R24" s="780">
        <v>-128318.55</v>
      </c>
      <c r="S24" s="776">
        <v>-128318.55</v>
      </c>
      <c r="T24" s="776">
        <v>-138540.74457496099</v>
      </c>
      <c r="U24" s="776">
        <v>-149762.54488553299</v>
      </c>
      <c r="V24" s="776">
        <v>-157580.14972855701</v>
      </c>
      <c r="W24" s="781"/>
      <c r="X24" s="781"/>
      <c r="Y24" s="781"/>
      <c r="Z24" s="781"/>
      <c r="AA24" s="781"/>
      <c r="AB24" s="781"/>
      <c r="AC24" s="781"/>
      <c r="AD24" s="781"/>
      <c r="AE24" s="781"/>
      <c r="AF24" s="781"/>
      <c r="AG24" s="781"/>
      <c r="AH24" s="781"/>
      <c r="AI24" s="781"/>
      <c r="AJ24" s="781"/>
      <c r="AK24" s="781"/>
      <c r="AL24" s="781"/>
      <c r="AM24" s="781"/>
      <c r="AN24" s="781"/>
      <c r="AO24" s="781"/>
      <c r="AP24" s="781"/>
      <c r="AQ24" s="781">
        <v>0</v>
      </c>
      <c r="AR24" s="781">
        <v>0</v>
      </c>
      <c r="AS24" s="781">
        <v>0</v>
      </c>
      <c r="AT24" s="782">
        <v>0</v>
      </c>
      <c r="AU24" s="782">
        <v>0</v>
      </c>
      <c r="AV24" s="782">
        <v>0</v>
      </c>
    </row>
    <row r="25" spans="2:48" s="782" customFormat="1" x14ac:dyDescent="0.25">
      <c r="B25" s="777" t="s">
        <v>234</v>
      </c>
      <c r="C25" s="777" t="s">
        <v>1693</v>
      </c>
      <c r="D25" s="778" t="s">
        <v>1695</v>
      </c>
      <c r="E25" s="779" t="s">
        <v>1641</v>
      </c>
      <c r="F25" s="779" t="s">
        <v>1642</v>
      </c>
      <c r="G25" s="779" t="s">
        <v>144</v>
      </c>
      <c r="H25" s="779" t="s">
        <v>1494</v>
      </c>
      <c r="I25" s="779" t="s">
        <v>225</v>
      </c>
      <c r="J25" s="779" t="s">
        <v>155</v>
      </c>
      <c r="K25" s="779" t="s">
        <v>1495</v>
      </c>
      <c r="L25" s="779" t="s">
        <v>1496</v>
      </c>
      <c r="M25" s="779" t="s">
        <v>1497</v>
      </c>
      <c r="N25" s="779"/>
      <c r="O25" s="779" t="s">
        <v>136</v>
      </c>
      <c r="P25" s="777" t="s">
        <v>1503</v>
      </c>
      <c r="Q25" s="777"/>
      <c r="R25" s="780">
        <v>-384955.64</v>
      </c>
      <c r="S25" s="776">
        <v>-384955.64</v>
      </c>
      <c r="T25" s="776">
        <v>-594591.86040677305</v>
      </c>
      <c r="U25" s="776">
        <v>-642753.80109972204</v>
      </c>
      <c r="V25" s="776">
        <v>-676305.54951712699</v>
      </c>
      <c r="W25" s="781"/>
      <c r="X25" s="781"/>
      <c r="Y25" s="781"/>
      <c r="Z25" s="781"/>
      <c r="AA25" s="781"/>
      <c r="AB25" s="781"/>
      <c r="AC25" s="781"/>
      <c r="AD25" s="781"/>
      <c r="AE25" s="781"/>
      <c r="AF25" s="781"/>
      <c r="AG25" s="781"/>
      <c r="AH25" s="781"/>
      <c r="AI25" s="781"/>
      <c r="AJ25" s="781"/>
      <c r="AK25" s="781"/>
      <c r="AL25" s="781"/>
      <c r="AM25" s="781"/>
      <c r="AN25" s="781"/>
      <c r="AO25" s="781"/>
      <c r="AP25" s="781"/>
      <c r="AQ25" s="781">
        <v>0</v>
      </c>
      <c r="AR25" s="781">
        <v>0</v>
      </c>
      <c r="AS25" s="781">
        <v>0</v>
      </c>
      <c r="AT25" s="782">
        <v>0</v>
      </c>
      <c r="AU25" s="782">
        <v>0</v>
      </c>
      <c r="AV25" s="782">
        <v>0</v>
      </c>
    </row>
    <row r="26" spans="2:48" s="699" customFormat="1" x14ac:dyDescent="0.25">
      <c r="B26" s="693" t="s">
        <v>234</v>
      </c>
      <c r="C26" s="693" t="s">
        <v>1696</v>
      </c>
      <c r="D26" s="694" t="s">
        <v>1697</v>
      </c>
      <c r="E26" s="695" t="s">
        <v>1641</v>
      </c>
      <c r="F26" s="695" t="s">
        <v>1642</v>
      </c>
      <c r="G26" s="695" t="s">
        <v>144</v>
      </c>
      <c r="H26" s="695" t="s">
        <v>1494</v>
      </c>
      <c r="I26" s="695" t="s">
        <v>226</v>
      </c>
      <c r="J26" s="695" t="s">
        <v>144</v>
      </c>
      <c r="K26" s="695" t="s">
        <v>1495</v>
      </c>
      <c r="L26" s="695" t="s">
        <v>1496</v>
      </c>
      <c r="M26" s="695" t="s">
        <v>1497</v>
      </c>
      <c r="N26" s="695"/>
      <c r="O26" s="695" t="s">
        <v>136</v>
      </c>
      <c r="P26" s="693" t="s">
        <v>1698</v>
      </c>
      <c r="Q26" s="693"/>
      <c r="R26" s="700">
        <v>252486861</v>
      </c>
      <c r="S26" s="697">
        <v>-22464706</v>
      </c>
      <c r="T26" s="697">
        <v>-27339892.663419001</v>
      </c>
      <c r="U26" s="697">
        <v>-29554423.969156001</v>
      </c>
      <c r="V26" s="697">
        <v>-31097164.900345899</v>
      </c>
      <c r="W26" s="698"/>
      <c r="X26" s="698"/>
      <c r="Y26" s="698"/>
      <c r="Z26" s="698"/>
      <c r="AA26" s="698"/>
      <c r="AB26" s="698"/>
      <c r="AC26" s="698"/>
      <c r="AD26" s="698"/>
      <c r="AE26" s="698"/>
      <c r="AF26" s="698"/>
      <c r="AG26" s="698"/>
      <c r="AH26" s="698"/>
      <c r="AI26" s="698"/>
      <c r="AJ26" s="698"/>
      <c r="AK26" s="698"/>
      <c r="AL26" s="698"/>
      <c r="AM26" s="698"/>
      <c r="AN26" s="698"/>
      <c r="AO26" s="698"/>
      <c r="AP26" s="698"/>
      <c r="AQ26" s="698">
        <v>0</v>
      </c>
      <c r="AR26" s="698">
        <v>0</v>
      </c>
      <c r="AS26" s="698">
        <v>0</v>
      </c>
      <c r="AT26" s="699">
        <v>0</v>
      </c>
      <c r="AU26" s="699">
        <v>0</v>
      </c>
      <c r="AV26" s="699">
        <v>0</v>
      </c>
    </row>
    <row r="27" spans="2:48" s="699" customFormat="1" x14ac:dyDescent="0.25">
      <c r="B27" s="693" t="s">
        <v>234</v>
      </c>
      <c r="C27" s="693" t="s">
        <v>1699</v>
      </c>
      <c r="D27" s="694" t="s">
        <v>1700</v>
      </c>
      <c r="E27" s="695" t="s">
        <v>1641</v>
      </c>
      <c r="F27" s="695" t="s">
        <v>1642</v>
      </c>
      <c r="G27" s="695" t="s">
        <v>144</v>
      </c>
      <c r="H27" s="695" t="s">
        <v>1494</v>
      </c>
      <c r="I27" s="695" t="s">
        <v>227</v>
      </c>
      <c r="J27" s="695" t="s">
        <v>144</v>
      </c>
      <c r="K27" s="695" t="s">
        <v>1495</v>
      </c>
      <c r="L27" s="695" t="s">
        <v>1496</v>
      </c>
      <c r="M27" s="695" t="s">
        <v>1497</v>
      </c>
      <c r="N27" s="695"/>
      <c r="O27" s="695" t="s">
        <v>136</v>
      </c>
      <c r="P27" s="693" t="s">
        <v>1701</v>
      </c>
      <c r="Q27" s="693"/>
      <c r="R27" s="700">
        <v>-425734</v>
      </c>
      <c r="S27" s="697">
        <v>-2136427</v>
      </c>
      <c r="T27" s="697">
        <v>-2255587.5176070398</v>
      </c>
      <c r="U27" s="697">
        <v>-2438290.1065332098</v>
      </c>
      <c r="V27" s="697">
        <v>-2565568.8500942499</v>
      </c>
      <c r="W27" s="698"/>
      <c r="X27" s="698"/>
      <c r="Y27" s="698"/>
      <c r="Z27" s="698"/>
      <c r="AA27" s="698"/>
      <c r="AB27" s="698"/>
      <c r="AC27" s="698"/>
      <c r="AD27" s="698"/>
      <c r="AE27" s="698"/>
      <c r="AF27" s="698"/>
      <c r="AG27" s="698"/>
      <c r="AH27" s="698"/>
      <c r="AI27" s="698"/>
      <c r="AJ27" s="698"/>
      <c r="AK27" s="698"/>
      <c r="AL27" s="698"/>
      <c r="AM27" s="698"/>
      <c r="AN27" s="698"/>
      <c r="AO27" s="698"/>
      <c r="AP27" s="698"/>
      <c r="AQ27" s="698">
        <v>0</v>
      </c>
      <c r="AR27" s="698">
        <v>0</v>
      </c>
      <c r="AS27" s="698">
        <v>0</v>
      </c>
      <c r="AT27" s="699">
        <v>0</v>
      </c>
      <c r="AU27" s="699">
        <v>0</v>
      </c>
      <c r="AV27" s="699">
        <v>0</v>
      </c>
    </row>
    <row r="28" spans="2:48" s="699" customFormat="1" x14ac:dyDescent="0.25">
      <c r="B28" s="693" t="s">
        <v>234</v>
      </c>
      <c r="C28" s="693" t="s">
        <v>1699</v>
      </c>
      <c r="D28" s="694" t="s">
        <v>1702</v>
      </c>
      <c r="E28" s="695" t="s">
        <v>1641</v>
      </c>
      <c r="F28" s="695" t="s">
        <v>1642</v>
      </c>
      <c r="G28" s="695" t="s">
        <v>144</v>
      </c>
      <c r="H28" s="695" t="s">
        <v>1494</v>
      </c>
      <c r="I28" s="695" t="s">
        <v>227</v>
      </c>
      <c r="J28" s="695" t="s">
        <v>155</v>
      </c>
      <c r="K28" s="695" t="s">
        <v>1495</v>
      </c>
      <c r="L28" s="695" t="s">
        <v>1496</v>
      </c>
      <c r="M28" s="695" t="s">
        <v>1497</v>
      </c>
      <c r="N28" s="695"/>
      <c r="O28" s="695" t="s">
        <v>136</v>
      </c>
      <c r="P28" s="693" t="s">
        <v>1703</v>
      </c>
      <c r="Q28" s="693"/>
      <c r="R28" s="700">
        <v>-567786</v>
      </c>
      <c r="S28" s="697">
        <v>-2466008</v>
      </c>
      <c r="T28" s="697">
        <v>-2765806.3655118002</v>
      </c>
      <c r="U28" s="697">
        <v>-2989836.6811182499</v>
      </c>
      <c r="V28" s="697">
        <v>-3145906.15587263</v>
      </c>
      <c r="W28" s="698"/>
      <c r="X28" s="698"/>
      <c r="Y28" s="698"/>
      <c r="Z28" s="698"/>
      <c r="AA28" s="698"/>
      <c r="AB28" s="698"/>
      <c r="AC28" s="698"/>
      <c r="AD28" s="698"/>
      <c r="AE28" s="698"/>
      <c r="AF28" s="698"/>
      <c r="AG28" s="698"/>
      <c r="AH28" s="698"/>
      <c r="AI28" s="698"/>
      <c r="AJ28" s="698"/>
      <c r="AK28" s="698"/>
      <c r="AL28" s="698"/>
      <c r="AM28" s="698"/>
      <c r="AN28" s="698"/>
      <c r="AO28" s="698"/>
      <c r="AP28" s="698"/>
      <c r="AQ28" s="698">
        <v>0</v>
      </c>
      <c r="AR28" s="698">
        <v>0</v>
      </c>
      <c r="AS28" s="698">
        <v>0</v>
      </c>
      <c r="AT28" s="699">
        <v>0</v>
      </c>
      <c r="AU28" s="699">
        <v>0</v>
      </c>
      <c r="AV28" s="699">
        <v>0</v>
      </c>
    </row>
    <row r="29" spans="2:48" s="699" customFormat="1" x14ac:dyDescent="0.25">
      <c r="B29" s="693" t="s">
        <v>234</v>
      </c>
      <c r="C29" s="693" t="s">
        <v>1699</v>
      </c>
      <c r="D29" s="694" t="s">
        <v>1704</v>
      </c>
      <c r="E29" s="695" t="s">
        <v>1641</v>
      </c>
      <c r="F29" s="695" t="s">
        <v>1642</v>
      </c>
      <c r="G29" s="695" t="s">
        <v>144</v>
      </c>
      <c r="H29" s="695" t="s">
        <v>1494</v>
      </c>
      <c r="I29" s="695" t="s">
        <v>227</v>
      </c>
      <c r="J29" s="695" t="s">
        <v>145</v>
      </c>
      <c r="K29" s="695" t="s">
        <v>1495</v>
      </c>
      <c r="L29" s="695" t="s">
        <v>1496</v>
      </c>
      <c r="M29" s="695" t="s">
        <v>1497</v>
      </c>
      <c r="N29" s="695"/>
      <c r="O29" s="695" t="s">
        <v>136</v>
      </c>
      <c r="P29" s="693" t="s">
        <v>1705</v>
      </c>
      <c r="Q29" s="693"/>
      <c r="R29" s="700">
        <v>-581572</v>
      </c>
      <c r="S29" s="697">
        <v>-2489539</v>
      </c>
      <c r="T29" s="697">
        <v>-2577057.6737529198</v>
      </c>
      <c r="U29" s="697">
        <v>-2785799.3453269</v>
      </c>
      <c r="V29" s="697">
        <v>-2931218.0711529702</v>
      </c>
      <c r="W29" s="698"/>
      <c r="X29" s="698"/>
      <c r="Y29" s="698"/>
      <c r="Z29" s="698"/>
      <c r="AA29" s="698"/>
      <c r="AB29" s="698"/>
      <c r="AC29" s="698"/>
      <c r="AD29" s="698"/>
      <c r="AE29" s="698"/>
      <c r="AF29" s="698"/>
      <c r="AG29" s="698"/>
      <c r="AH29" s="698"/>
      <c r="AI29" s="698"/>
      <c r="AJ29" s="698"/>
      <c r="AK29" s="698"/>
      <c r="AL29" s="698"/>
      <c r="AM29" s="698"/>
      <c r="AN29" s="698"/>
      <c r="AO29" s="698"/>
      <c r="AP29" s="698"/>
      <c r="AQ29" s="698">
        <v>0</v>
      </c>
      <c r="AR29" s="698">
        <v>0</v>
      </c>
      <c r="AS29" s="698">
        <v>0</v>
      </c>
      <c r="AT29" s="699">
        <v>0</v>
      </c>
      <c r="AU29" s="699">
        <v>0</v>
      </c>
      <c r="AV29" s="699">
        <v>0</v>
      </c>
    </row>
    <row r="30" spans="2:48" s="699" customFormat="1" x14ac:dyDescent="0.25">
      <c r="B30" s="693" t="s">
        <v>234</v>
      </c>
      <c r="C30" s="693" t="s">
        <v>1699</v>
      </c>
      <c r="D30" s="694" t="s">
        <v>1706</v>
      </c>
      <c r="E30" s="695" t="s">
        <v>1641</v>
      </c>
      <c r="F30" s="695" t="s">
        <v>1642</v>
      </c>
      <c r="G30" s="695" t="s">
        <v>144</v>
      </c>
      <c r="H30" s="695" t="s">
        <v>1494</v>
      </c>
      <c r="I30" s="695" t="s">
        <v>227</v>
      </c>
      <c r="J30" s="695" t="s">
        <v>146</v>
      </c>
      <c r="K30" s="695" t="s">
        <v>1495</v>
      </c>
      <c r="L30" s="695" t="s">
        <v>1496</v>
      </c>
      <c r="M30" s="695" t="s">
        <v>1497</v>
      </c>
      <c r="N30" s="695"/>
      <c r="O30" s="695" t="s">
        <v>136</v>
      </c>
      <c r="P30" s="693" t="s">
        <v>1504</v>
      </c>
      <c r="Q30" s="693"/>
      <c r="R30" s="700">
        <v>-649756</v>
      </c>
      <c r="S30" s="697">
        <v>-2607399</v>
      </c>
      <c r="T30" s="697">
        <v>-3295157.6656251298</v>
      </c>
      <c r="U30" s="697">
        <v>-3562065.4365407601</v>
      </c>
      <c r="V30" s="697">
        <v>-3748005.25232819</v>
      </c>
      <c r="W30" s="698"/>
      <c r="X30" s="698"/>
      <c r="Y30" s="698"/>
      <c r="Z30" s="698"/>
      <c r="AA30" s="698"/>
      <c r="AB30" s="698"/>
      <c r="AC30" s="698"/>
      <c r="AD30" s="698"/>
      <c r="AE30" s="698"/>
      <c r="AF30" s="698"/>
      <c r="AG30" s="698"/>
      <c r="AH30" s="698"/>
      <c r="AI30" s="698"/>
      <c r="AJ30" s="698"/>
      <c r="AK30" s="698"/>
      <c r="AL30" s="698"/>
      <c r="AM30" s="698"/>
      <c r="AN30" s="698"/>
      <c r="AO30" s="698"/>
      <c r="AP30" s="698"/>
      <c r="AQ30" s="698">
        <v>0</v>
      </c>
      <c r="AR30" s="698">
        <v>0</v>
      </c>
      <c r="AS30" s="698">
        <v>0</v>
      </c>
      <c r="AT30" s="699">
        <v>0</v>
      </c>
      <c r="AU30" s="699">
        <v>0</v>
      </c>
      <c r="AV30" s="699">
        <v>0</v>
      </c>
    </row>
    <row r="31" spans="2:48" s="699" customFormat="1" x14ac:dyDescent="0.25">
      <c r="B31" s="693" t="s">
        <v>234</v>
      </c>
      <c r="C31" s="693" t="s">
        <v>1699</v>
      </c>
      <c r="D31" s="694" t="s">
        <v>1707</v>
      </c>
      <c r="E31" s="695" t="s">
        <v>1641</v>
      </c>
      <c r="F31" s="695" t="s">
        <v>1642</v>
      </c>
      <c r="G31" s="695" t="s">
        <v>144</v>
      </c>
      <c r="H31" s="695" t="s">
        <v>1494</v>
      </c>
      <c r="I31" s="695" t="s">
        <v>227</v>
      </c>
      <c r="J31" s="695" t="s">
        <v>147</v>
      </c>
      <c r="K31" s="695" t="s">
        <v>1495</v>
      </c>
      <c r="L31" s="695" t="s">
        <v>1496</v>
      </c>
      <c r="M31" s="695" t="s">
        <v>1497</v>
      </c>
      <c r="N31" s="695"/>
      <c r="O31" s="695" t="s">
        <v>136</v>
      </c>
      <c r="P31" s="693" t="s">
        <v>1708</v>
      </c>
      <c r="Q31" s="693"/>
      <c r="R31" s="700">
        <v>-1144615</v>
      </c>
      <c r="S31" s="697">
        <v>-4335848</v>
      </c>
      <c r="T31" s="697">
        <v>-5260355.1734327804</v>
      </c>
      <c r="U31" s="697">
        <v>-5686443.9424808295</v>
      </c>
      <c r="V31" s="697">
        <v>-5983276.3162783301</v>
      </c>
      <c r="W31" s="698"/>
      <c r="X31" s="698"/>
      <c r="Y31" s="698"/>
      <c r="Z31" s="698"/>
      <c r="AA31" s="698"/>
      <c r="AB31" s="698"/>
      <c r="AC31" s="698"/>
      <c r="AD31" s="698"/>
      <c r="AE31" s="698"/>
      <c r="AF31" s="698"/>
      <c r="AG31" s="698"/>
      <c r="AH31" s="698"/>
      <c r="AI31" s="698"/>
      <c r="AJ31" s="698"/>
      <c r="AK31" s="698"/>
      <c r="AL31" s="698"/>
      <c r="AM31" s="698"/>
      <c r="AN31" s="698"/>
      <c r="AO31" s="698"/>
      <c r="AP31" s="698"/>
      <c r="AQ31" s="698">
        <v>0</v>
      </c>
      <c r="AR31" s="698">
        <v>0</v>
      </c>
      <c r="AS31" s="698">
        <v>0</v>
      </c>
      <c r="AT31" s="699">
        <v>0</v>
      </c>
      <c r="AU31" s="699">
        <v>0</v>
      </c>
      <c r="AV31" s="699">
        <v>0</v>
      </c>
    </row>
    <row r="32" spans="2:48" s="699" customFormat="1" x14ac:dyDescent="0.25">
      <c r="B32" s="693" t="s">
        <v>234</v>
      </c>
      <c r="C32" s="693" t="s">
        <v>1699</v>
      </c>
      <c r="D32" s="694" t="s">
        <v>1709</v>
      </c>
      <c r="E32" s="695" t="s">
        <v>1641</v>
      </c>
      <c r="F32" s="695" t="s">
        <v>1642</v>
      </c>
      <c r="G32" s="695" t="s">
        <v>144</v>
      </c>
      <c r="H32" s="695" t="s">
        <v>1494</v>
      </c>
      <c r="I32" s="695" t="s">
        <v>227</v>
      </c>
      <c r="J32" s="695" t="s">
        <v>148</v>
      </c>
      <c r="K32" s="695" t="s">
        <v>1495</v>
      </c>
      <c r="L32" s="695" t="s">
        <v>1496</v>
      </c>
      <c r="M32" s="695" t="s">
        <v>1497</v>
      </c>
      <c r="N32" s="695"/>
      <c r="O32" s="695" t="s">
        <v>136</v>
      </c>
      <c r="P32" s="693" t="s">
        <v>1710</v>
      </c>
      <c r="Q32" s="693"/>
      <c r="R32" s="700">
        <v>-995657</v>
      </c>
      <c r="S32" s="697">
        <v>-4085560</v>
      </c>
      <c r="T32" s="697">
        <v>-5113258.5117830997</v>
      </c>
      <c r="U32" s="697">
        <v>-5527432.4512375398</v>
      </c>
      <c r="V32" s="697">
        <v>-5815964.4251921298</v>
      </c>
      <c r="W32" s="698"/>
      <c r="X32" s="698"/>
      <c r="Y32" s="698"/>
      <c r="Z32" s="698"/>
      <c r="AA32" s="698"/>
      <c r="AB32" s="698"/>
      <c r="AC32" s="698"/>
      <c r="AD32" s="698"/>
      <c r="AE32" s="698"/>
      <c r="AF32" s="698"/>
      <c r="AG32" s="698"/>
      <c r="AH32" s="698"/>
      <c r="AI32" s="698"/>
      <c r="AJ32" s="698"/>
      <c r="AK32" s="698"/>
      <c r="AL32" s="698"/>
      <c r="AM32" s="698"/>
      <c r="AN32" s="698"/>
      <c r="AO32" s="698"/>
      <c r="AP32" s="698"/>
      <c r="AQ32" s="698">
        <v>0</v>
      </c>
      <c r="AR32" s="698">
        <v>0</v>
      </c>
      <c r="AS32" s="698">
        <v>0</v>
      </c>
      <c r="AT32" s="699">
        <v>0</v>
      </c>
      <c r="AU32" s="699">
        <v>0</v>
      </c>
      <c r="AV32" s="699">
        <v>0</v>
      </c>
    </row>
    <row r="33" spans="2:48" s="699" customFormat="1" x14ac:dyDescent="0.25">
      <c r="B33" s="693" t="s">
        <v>234</v>
      </c>
      <c r="C33" s="693" t="s">
        <v>1699</v>
      </c>
      <c r="D33" s="694" t="s">
        <v>1711</v>
      </c>
      <c r="E33" s="695" t="s">
        <v>1641</v>
      </c>
      <c r="F33" s="695" t="s">
        <v>1642</v>
      </c>
      <c r="G33" s="695" t="s">
        <v>144</v>
      </c>
      <c r="H33" s="695" t="s">
        <v>1494</v>
      </c>
      <c r="I33" s="695" t="s">
        <v>227</v>
      </c>
      <c r="J33" s="695" t="s">
        <v>149</v>
      </c>
      <c r="K33" s="695" t="s">
        <v>1495</v>
      </c>
      <c r="L33" s="695" t="s">
        <v>1496</v>
      </c>
      <c r="M33" s="695" t="s">
        <v>1497</v>
      </c>
      <c r="N33" s="695"/>
      <c r="O33" s="695" t="s">
        <v>136</v>
      </c>
      <c r="P33" s="693" t="s">
        <v>1505</v>
      </c>
      <c r="Q33" s="693"/>
      <c r="R33" s="700">
        <v>-375876</v>
      </c>
      <c r="S33" s="697">
        <v>-828225</v>
      </c>
      <c r="T33" s="697">
        <v>-940914.82044299995</v>
      </c>
      <c r="U33" s="697">
        <v>-1017128.92089888</v>
      </c>
      <c r="V33" s="697">
        <v>-1070223.0505698</v>
      </c>
      <c r="W33" s="698"/>
      <c r="X33" s="698"/>
      <c r="Y33" s="698"/>
      <c r="Z33" s="698"/>
      <c r="AA33" s="698"/>
      <c r="AB33" s="698"/>
      <c r="AC33" s="698"/>
      <c r="AD33" s="698"/>
      <c r="AE33" s="698"/>
      <c r="AF33" s="698"/>
      <c r="AG33" s="698"/>
      <c r="AH33" s="698"/>
      <c r="AI33" s="698"/>
      <c r="AJ33" s="698"/>
      <c r="AK33" s="698"/>
      <c r="AL33" s="698"/>
      <c r="AM33" s="698"/>
      <c r="AN33" s="698"/>
      <c r="AO33" s="698"/>
      <c r="AP33" s="698"/>
      <c r="AQ33" s="698">
        <v>0</v>
      </c>
      <c r="AR33" s="698">
        <v>0</v>
      </c>
      <c r="AS33" s="698">
        <v>0</v>
      </c>
      <c r="AT33" s="699">
        <v>0</v>
      </c>
      <c r="AU33" s="699">
        <v>0</v>
      </c>
      <c r="AV33" s="699">
        <v>0</v>
      </c>
    </row>
    <row r="34" spans="2:48" s="699" customFormat="1" x14ac:dyDescent="0.25">
      <c r="B34" s="693" t="s">
        <v>234</v>
      </c>
      <c r="C34" s="693" t="s">
        <v>1699</v>
      </c>
      <c r="D34" s="694" t="s">
        <v>1712</v>
      </c>
      <c r="E34" s="695" t="s">
        <v>1641</v>
      </c>
      <c r="F34" s="695" t="s">
        <v>1642</v>
      </c>
      <c r="G34" s="695" t="s">
        <v>144</v>
      </c>
      <c r="H34" s="695" t="s">
        <v>1494</v>
      </c>
      <c r="I34" s="695" t="s">
        <v>227</v>
      </c>
      <c r="J34" s="695" t="s">
        <v>150</v>
      </c>
      <c r="K34" s="695" t="s">
        <v>1495</v>
      </c>
      <c r="L34" s="695" t="s">
        <v>1496</v>
      </c>
      <c r="M34" s="695" t="s">
        <v>1497</v>
      </c>
      <c r="N34" s="695"/>
      <c r="O34" s="695" t="s">
        <v>136</v>
      </c>
      <c r="P34" s="693" t="s">
        <v>1713</v>
      </c>
      <c r="Q34" s="693"/>
      <c r="R34" s="700">
        <v>-9295</v>
      </c>
      <c r="S34" s="697">
        <v>-12423</v>
      </c>
      <c r="T34" s="697">
        <v>-13095.385189479</v>
      </c>
      <c r="U34" s="697">
        <v>-14156.111389826799</v>
      </c>
      <c r="V34" s="697">
        <v>-14895.060404375799</v>
      </c>
      <c r="W34" s="698"/>
      <c r="X34" s="698"/>
      <c r="Y34" s="698"/>
      <c r="Z34" s="698"/>
      <c r="AA34" s="698"/>
      <c r="AB34" s="698"/>
      <c r="AC34" s="698"/>
      <c r="AD34" s="698"/>
      <c r="AE34" s="698"/>
      <c r="AF34" s="698"/>
      <c r="AG34" s="698"/>
      <c r="AH34" s="698"/>
      <c r="AI34" s="698"/>
      <c r="AJ34" s="698"/>
      <c r="AK34" s="698"/>
      <c r="AL34" s="698"/>
      <c r="AM34" s="698"/>
      <c r="AN34" s="698"/>
      <c r="AO34" s="698"/>
      <c r="AP34" s="698"/>
      <c r="AQ34" s="698">
        <v>0</v>
      </c>
      <c r="AR34" s="698">
        <v>0</v>
      </c>
      <c r="AS34" s="698">
        <v>0</v>
      </c>
      <c r="AT34" s="699">
        <v>0</v>
      </c>
      <c r="AU34" s="699">
        <v>0</v>
      </c>
      <c r="AV34" s="699">
        <v>0</v>
      </c>
    </row>
    <row r="35" spans="2:48" s="699" customFormat="1" x14ac:dyDescent="0.25">
      <c r="B35" s="693" t="s">
        <v>234</v>
      </c>
      <c r="C35" s="693" t="s">
        <v>1699</v>
      </c>
      <c r="D35" s="694" t="s">
        <v>1714</v>
      </c>
      <c r="E35" s="695" t="s">
        <v>1641</v>
      </c>
      <c r="F35" s="695" t="s">
        <v>1642</v>
      </c>
      <c r="G35" s="695" t="s">
        <v>144</v>
      </c>
      <c r="H35" s="695" t="s">
        <v>1494</v>
      </c>
      <c r="I35" s="695" t="s">
        <v>227</v>
      </c>
      <c r="J35" s="695" t="s">
        <v>151</v>
      </c>
      <c r="K35" s="695" t="s">
        <v>1495</v>
      </c>
      <c r="L35" s="695" t="s">
        <v>1496</v>
      </c>
      <c r="M35" s="695" t="s">
        <v>1497</v>
      </c>
      <c r="N35" s="695"/>
      <c r="O35" s="695" t="s">
        <v>136</v>
      </c>
      <c r="P35" s="693" t="s">
        <v>1715</v>
      </c>
      <c r="Q35" s="693"/>
      <c r="R35" s="700">
        <v>-12758</v>
      </c>
      <c r="S35" s="697">
        <v>-14851</v>
      </c>
      <c r="T35" s="697">
        <v>-16567.334194542</v>
      </c>
      <c r="U35" s="697">
        <v>-17909.288264299899</v>
      </c>
      <c r="V35" s="697">
        <v>-18844.1531116964</v>
      </c>
      <c r="W35" s="698"/>
      <c r="X35" s="698"/>
      <c r="Y35" s="698"/>
      <c r="Z35" s="698"/>
      <c r="AA35" s="698"/>
      <c r="AB35" s="698"/>
      <c r="AC35" s="698"/>
      <c r="AD35" s="698"/>
      <c r="AE35" s="698"/>
      <c r="AF35" s="698"/>
      <c r="AG35" s="698"/>
      <c r="AH35" s="698"/>
      <c r="AI35" s="698"/>
      <c r="AJ35" s="698"/>
      <c r="AK35" s="698"/>
      <c r="AL35" s="698"/>
      <c r="AM35" s="698"/>
      <c r="AN35" s="698"/>
      <c r="AO35" s="698"/>
      <c r="AP35" s="698"/>
      <c r="AQ35" s="698">
        <v>0</v>
      </c>
      <c r="AR35" s="698">
        <v>0</v>
      </c>
      <c r="AS35" s="698">
        <v>0</v>
      </c>
      <c r="AT35" s="699">
        <v>0</v>
      </c>
      <c r="AU35" s="699">
        <v>0</v>
      </c>
      <c r="AV35" s="699">
        <v>0</v>
      </c>
    </row>
    <row r="36" spans="2:48" s="699" customFormat="1" x14ac:dyDescent="0.25">
      <c r="B36" s="693" t="s">
        <v>234</v>
      </c>
      <c r="C36" s="693" t="s">
        <v>1699</v>
      </c>
      <c r="D36" s="694" t="s">
        <v>1716</v>
      </c>
      <c r="E36" s="695" t="s">
        <v>1641</v>
      </c>
      <c r="F36" s="695" t="s">
        <v>1642</v>
      </c>
      <c r="G36" s="695" t="s">
        <v>144</v>
      </c>
      <c r="H36" s="695" t="s">
        <v>1494</v>
      </c>
      <c r="I36" s="695" t="s">
        <v>227</v>
      </c>
      <c r="J36" s="695" t="s">
        <v>1717</v>
      </c>
      <c r="K36" s="695" t="s">
        <v>1495</v>
      </c>
      <c r="L36" s="695" t="s">
        <v>1496</v>
      </c>
      <c r="M36" s="695" t="s">
        <v>1497</v>
      </c>
      <c r="N36" s="695"/>
      <c r="O36" s="695" t="s">
        <v>136</v>
      </c>
      <c r="P36" s="693" t="s">
        <v>1718</v>
      </c>
      <c r="Q36" s="693"/>
      <c r="R36" s="700">
        <v>-10509</v>
      </c>
      <c r="S36" s="697">
        <v>-15481</v>
      </c>
      <c r="T36" s="697">
        <v>-15899.491101551999</v>
      </c>
      <c r="U36" s="697">
        <v>-17187.3498807777</v>
      </c>
      <c r="V36" s="697">
        <v>-18084.529544554302</v>
      </c>
      <c r="W36" s="698"/>
      <c r="X36" s="698"/>
      <c r="Y36" s="698"/>
      <c r="Z36" s="698"/>
      <c r="AA36" s="698"/>
      <c r="AB36" s="698"/>
      <c r="AC36" s="698"/>
      <c r="AD36" s="698"/>
      <c r="AE36" s="698"/>
      <c r="AF36" s="698"/>
      <c r="AG36" s="698"/>
      <c r="AH36" s="698"/>
      <c r="AI36" s="698"/>
      <c r="AJ36" s="698"/>
      <c r="AK36" s="698"/>
      <c r="AL36" s="698"/>
      <c r="AM36" s="698"/>
      <c r="AN36" s="698"/>
      <c r="AO36" s="698"/>
      <c r="AP36" s="698"/>
      <c r="AQ36" s="698">
        <v>0</v>
      </c>
      <c r="AR36" s="698">
        <v>0</v>
      </c>
      <c r="AS36" s="698">
        <v>0</v>
      </c>
      <c r="AT36" s="699">
        <v>0</v>
      </c>
      <c r="AU36" s="699">
        <v>0</v>
      </c>
      <c r="AV36" s="699">
        <v>0</v>
      </c>
    </row>
    <row r="37" spans="2:48" s="699" customFormat="1" x14ac:dyDescent="0.25">
      <c r="B37" s="693" t="s">
        <v>234</v>
      </c>
      <c r="C37" s="693" t="s">
        <v>1699</v>
      </c>
      <c r="D37" s="694" t="s">
        <v>1719</v>
      </c>
      <c r="E37" s="695" t="s">
        <v>1641</v>
      </c>
      <c r="F37" s="695" t="s">
        <v>1642</v>
      </c>
      <c r="G37" s="695" t="s">
        <v>144</v>
      </c>
      <c r="H37" s="695" t="s">
        <v>1494</v>
      </c>
      <c r="I37" s="695" t="s">
        <v>227</v>
      </c>
      <c r="J37" s="695" t="s">
        <v>1720</v>
      </c>
      <c r="K37" s="695" t="s">
        <v>1495</v>
      </c>
      <c r="L37" s="695" t="s">
        <v>1496</v>
      </c>
      <c r="M37" s="695" t="s">
        <v>1497</v>
      </c>
      <c r="N37" s="695"/>
      <c r="O37" s="695" t="s">
        <v>136</v>
      </c>
      <c r="P37" s="693" t="s">
        <v>1721</v>
      </c>
      <c r="Q37" s="693"/>
      <c r="R37" s="700">
        <v>-13854</v>
      </c>
      <c r="S37" s="697">
        <v>-19786</v>
      </c>
      <c r="T37" s="697">
        <v>-22986.462801528</v>
      </c>
      <c r="U37" s="697">
        <v>-24848.366288451802</v>
      </c>
      <c r="V37" s="697">
        <v>-26145.4510087089</v>
      </c>
      <c r="W37" s="698"/>
      <c r="X37" s="698"/>
      <c r="Y37" s="698"/>
      <c r="Z37" s="698"/>
      <c r="AA37" s="698"/>
      <c r="AB37" s="698"/>
      <c r="AC37" s="698"/>
      <c r="AD37" s="698"/>
      <c r="AE37" s="698"/>
      <c r="AF37" s="698"/>
      <c r="AG37" s="698"/>
      <c r="AH37" s="698"/>
      <c r="AI37" s="698"/>
      <c r="AJ37" s="698"/>
      <c r="AK37" s="698"/>
      <c r="AL37" s="698"/>
      <c r="AM37" s="698"/>
      <c r="AN37" s="698"/>
      <c r="AO37" s="698"/>
      <c r="AP37" s="698"/>
      <c r="AQ37" s="698">
        <v>0</v>
      </c>
      <c r="AR37" s="698">
        <v>0</v>
      </c>
      <c r="AS37" s="698">
        <v>0</v>
      </c>
      <c r="AT37" s="699">
        <v>0</v>
      </c>
      <c r="AU37" s="699">
        <v>0</v>
      </c>
      <c r="AV37" s="699">
        <v>0</v>
      </c>
    </row>
    <row r="38" spans="2:48" s="699" customFormat="1" x14ac:dyDescent="0.25">
      <c r="B38" s="693" t="s">
        <v>234</v>
      </c>
      <c r="C38" s="693" t="s">
        <v>1699</v>
      </c>
      <c r="D38" s="694" t="s">
        <v>1722</v>
      </c>
      <c r="E38" s="695" t="s">
        <v>1641</v>
      </c>
      <c r="F38" s="695" t="s">
        <v>1642</v>
      </c>
      <c r="G38" s="695" t="s">
        <v>144</v>
      </c>
      <c r="H38" s="695" t="s">
        <v>1494</v>
      </c>
      <c r="I38" s="695" t="s">
        <v>227</v>
      </c>
      <c r="J38" s="695" t="s">
        <v>1723</v>
      </c>
      <c r="K38" s="695" t="s">
        <v>1495</v>
      </c>
      <c r="L38" s="695" t="s">
        <v>1496</v>
      </c>
      <c r="M38" s="695" t="s">
        <v>1497</v>
      </c>
      <c r="N38" s="695"/>
      <c r="O38" s="695" t="s">
        <v>136</v>
      </c>
      <c r="P38" s="693" t="s">
        <v>1724</v>
      </c>
      <c r="Q38" s="693"/>
      <c r="R38" s="700">
        <v>-26445</v>
      </c>
      <c r="S38" s="697">
        <v>-35483</v>
      </c>
      <c r="T38" s="697">
        <v>-38290.563148884001</v>
      </c>
      <c r="U38" s="697">
        <v>-41392.098763943599</v>
      </c>
      <c r="V38" s="697">
        <v>-43552.766319421498</v>
      </c>
      <c r="W38" s="698"/>
      <c r="X38" s="698"/>
      <c r="Y38" s="698"/>
      <c r="Z38" s="698"/>
      <c r="AA38" s="698"/>
      <c r="AB38" s="698"/>
      <c r="AC38" s="698"/>
      <c r="AD38" s="698"/>
      <c r="AE38" s="698"/>
      <c r="AF38" s="698"/>
      <c r="AG38" s="698"/>
      <c r="AH38" s="698"/>
      <c r="AI38" s="698"/>
      <c r="AJ38" s="698"/>
      <c r="AK38" s="698"/>
      <c r="AL38" s="698"/>
      <c r="AM38" s="698"/>
      <c r="AN38" s="698"/>
      <c r="AO38" s="698"/>
      <c r="AP38" s="698"/>
      <c r="AQ38" s="698">
        <v>0</v>
      </c>
      <c r="AR38" s="698">
        <v>0</v>
      </c>
      <c r="AS38" s="698">
        <v>0</v>
      </c>
      <c r="AT38" s="699">
        <v>0</v>
      </c>
      <c r="AU38" s="699">
        <v>0</v>
      </c>
      <c r="AV38" s="699">
        <v>0</v>
      </c>
    </row>
    <row r="39" spans="2:48" s="699" customFormat="1" x14ac:dyDescent="0.25">
      <c r="B39" s="693" t="s">
        <v>234</v>
      </c>
      <c r="C39" s="693" t="s">
        <v>1699</v>
      </c>
      <c r="D39" s="694" t="s">
        <v>1725</v>
      </c>
      <c r="E39" s="695" t="s">
        <v>1641</v>
      </c>
      <c r="F39" s="695" t="s">
        <v>1642</v>
      </c>
      <c r="G39" s="695" t="s">
        <v>144</v>
      </c>
      <c r="H39" s="695" t="s">
        <v>1494</v>
      </c>
      <c r="I39" s="695" t="s">
        <v>227</v>
      </c>
      <c r="J39" s="695" t="s">
        <v>1726</v>
      </c>
      <c r="K39" s="695" t="s">
        <v>1495</v>
      </c>
      <c r="L39" s="695" t="s">
        <v>1496</v>
      </c>
      <c r="M39" s="695" t="s">
        <v>1497</v>
      </c>
      <c r="N39" s="695"/>
      <c r="O39" s="695" t="s">
        <v>136</v>
      </c>
      <c r="P39" s="693" t="s">
        <v>1727</v>
      </c>
      <c r="Q39" s="693"/>
      <c r="R39" s="700">
        <v>-21704</v>
      </c>
      <c r="S39" s="697">
        <v>-35236</v>
      </c>
      <c r="T39" s="697">
        <v>-38901.968708214001</v>
      </c>
      <c r="U39" s="697">
        <v>-42053.028173579303</v>
      </c>
      <c r="V39" s="697">
        <v>-44248.1962442402</v>
      </c>
      <c r="W39" s="698"/>
      <c r="X39" s="698"/>
      <c r="Y39" s="698"/>
      <c r="Z39" s="698"/>
      <c r="AA39" s="698"/>
      <c r="AB39" s="698"/>
      <c r="AC39" s="698"/>
      <c r="AD39" s="698"/>
      <c r="AE39" s="698"/>
      <c r="AF39" s="698"/>
      <c r="AG39" s="698"/>
      <c r="AH39" s="698"/>
      <c r="AI39" s="698"/>
      <c r="AJ39" s="698"/>
      <c r="AK39" s="698"/>
      <c r="AL39" s="698"/>
      <c r="AM39" s="698"/>
      <c r="AN39" s="698"/>
      <c r="AO39" s="698"/>
      <c r="AP39" s="698"/>
      <c r="AQ39" s="698">
        <v>0</v>
      </c>
      <c r="AR39" s="698">
        <v>0</v>
      </c>
      <c r="AS39" s="698">
        <v>0</v>
      </c>
      <c r="AT39" s="699">
        <v>0</v>
      </c>
      <c r="AU39" s="699">
        <v>0</v>
      </c>
      <c r="AV39" s="699">
        <v>0</v>
      </c>
    </row>
    <row r="40" spans="2:48" s="699" customFormat="1" x14ac:dyDescent="0.25">
      <c r="B40" s="693" t="s">
        <v>234</v>
      </c>
      <c r="C40" s="693" t="s">
        <v>1699</v>
      </c>
      <c r="D40" s="694" t="s">
        <v>1728</v>
      </c>
      <c r="E40" s="695" t="s">
        <v>1641</v>
      </c>
      <c r="F40" s="695" t="s">
        <v>1642</v>
      </c>
      <c r="G40" s="695" t="s">
        <v>144</v>
      </c>
      <c r="H40" s="695" t="s">
        <v>1494</v>
      </c>
      <c r="I40" s="695" t="s">
        <v>227</v>
      </c>
      <c r="J40" s="695" t="s">
        <v>1729</v>
      </c>
      <c r="K40" s="695" t="s">
        <v>1495</v>
      </c>
      <c r="L40" s="695" t="s">
        <v>1496</v>
      </c>
      <c r="M40" s="695" t="s">
        <v>1497</v>
      </c>
      <c r="N40" s="695"/>
      <c r="O40" s="695" t="s">
        <v>136</v>
      </c>
      <c r="P40" s="693" t="s">
        <v>1730</v>
      </c>
      <c r="Q40" s="693"/>
      <c r="R40" s="700">
        <v>-7632</v>
      </c>
      <c r="S40" s="697">
        <v>-11581</v>
      </c>
      <c r="T40" s="697">
        <v>-11224.051847999999</v>
      </c>
      <c r="U40" s="697">
        <v>-12133.200047688</v>
      </c>
      <c r="V40" s="697">
        <v>-12766.5530901773</v>
      </c>
      <c r="W40" s="698"/>
      <c r="X40" s="698"/>
      <c r="Y40" s="698"/>
      <c r="Z40" s="698"/>
      <c r="AA40" s="698"/>
      <c r="AB40" s="698"/>
      <c r="AC40" s="698"/>
      <c r="AD40" s="698"/>
      <c r="AE40" s="698"/>
      <c r="AF40" s="698"/>
      <c r="AG40" s="698"/>
      <c r="AH40" s="698"/>
      <c r="AI40" s="698"/>
      <c r="AJ40" s="698"/>
      <c r="AK40" s="698"/>
      <c r="AL40" s="698"/>
      <c r="AM40" s="698"/>
      <c r="AN40" s="698"/>
      <c r="AO40" s="698"/>
      <c r="AP40" s="698"/>
      <c r="AQ40" s="698">
        <v>0</v>
      </c>
      <c r="AR40" s="698">
        <v>0</v>
      </c>
      <c r="AS40" s="698">
        <v>0</v>
      </c>
      <c r="AT40" s="699">
        <v>0</v>
      </c>
      <c r="AU40" s="699">
        <v>0</v>
      </c>
      <c r="AV40" s="699">
        <v>0</v>
      </c>
    </row>
    <row r="41" spans="2:48" s="699" customFormat="1" x14ac:dyDescent="0.25">
      <c r="B41" s="693" t="s">
        <v>234</v>
      </c>
      <c r="C41" s="693" t="s">
        <v>1699</v>
      </c>
      <c r="D41" s="694" t="s">
        <v>1731</v>
      </c>
      <c r="E41" s="695" t="s">
        <v>1641</v>
      </c>
      <c r="F41" s="695" t="s">
        <v>1642</v>
      </c>
      <c r="G41" s="695" t="s">
        <v>144</v>
      </c>
      <c r="H41" s="695" t="s">
        <v>1494</v>
      </c>
      <c r="I41" s="695" t="s">
        <v>227</v>
      </c>
      <c r="J41" s="695" t="s">
        <v>1732</v>
      </c>
      <c r="K41" s="695" t="s">
        <v>1495</v>
      </c>
      <c r="L41" s="695" t="s">
        <v>1496</v>
      </c>
      <c r="M41" s="695" t="s">
        <v>1497</v>
      </c>
      <c r="N41" s="695"/>
      <c r="O41" s="695" t="s">
        <v>136</v>
      </c>
      <c r="P41" s="693" t="s">
        <v>1733</v>
      </c>
      <c r="Q41" s="693"/>
      <c r="R41" s="700">
        <v>343977</v>
      </c>
      <c r="S41" s="697">
        <v>-4677275</v>
      </c>
      <c r="T41" s="697">
        <v>-5206245.6957134204</v>
      </c>
      <c r="U41" s="697">
        <v>-5627951.5970662003</v>
      </c>
      <c r="V41" s="697">
        <v>-5921730.6704330603</v>
      </c>
      <c r="W41" s="698"/>
      <c r="X41" s="698"/>
      <c r="Y41" s="698"/>
      <c r="Z41" s="698"/>
      <c r="AA41" s="698"/>
      <c r="AB41" s="698"/>
      <c r="AC41" s="698"/>
      <c r="AD41" s="698"/>
      <c r="AE41" s="698"/>
      <c r="AF41" s="698"/>
      <c r="AG41" s="698"/>
      <c r="AH41" s="698"/>
      <c r="AI41" s="698"/>
      <c r="AJ41" s="698"/>
      <c r="AK41" s="698"/>
      <c r="AL41" s="698"/>
      <c r="AM41" s="698"/>
      <c r="AN41" s="698"/>
      <c r="AO41" s="698"/>
      <c r="AP41" s="698"/>
      <c r="AQ41" s="698">
        <v>0</v>
      </c>
      <c r="AR41" s="698">
        <v>0</v>
      </c>
      <c r="AS41" s="698">
        <v>0</v>
      </c>
      <c r="AT41" s="699">
        <v>0</v>
      </c>
      <c r="AU41" s="699">
        <v>0</v>
      </c>
      <c r="AV41" s="699">
        <v>0</v>
      </c>
    </row>
    <row r="42" spans="2:48" s="699" customFormat="1" x14ac:dyDescent="0.25">
      <c r="B42" s="693" t="s">
        <v>234</v>
      </c>
      <c r="C42" s="693" t="s">
        <v>1699</v>
      </c>
      <c r="D42" s="694" t="s">
        <v>1734</v>
      </c>
      <c r="E42" s="695" t="s">
        <v>1641</v>
      </c>
      <c r="F42" s="695" t="s">
        <v>1642</v>
      </c>
      <c r="G42" s="695" t="s">
        <v>144</v>
      </c>
      <c r="H42" s="695" t="s">
        <v>1494</v>
      </c>
      <c r="I42" s="695" t="s">
        <v>227</v>
      </c>
      <c r="J42" s="695" t="s">
        <v>1735</v>
      </c>
      <c r="K42" s="695" t="s">
        <v>1495</v>
      </c>
      <c r="L42" s="695" t="s">
        <v>1496</v>
      </c>
      <c r="M42" s="695" t="s">
        <v>1497</v>
      </c>
      <c r="N42" s="695"/>
      <c r="O42" s="695" t="s">
        <v>136</v>
      </c>
      <c r="P42" s="693" t="s">
        <v>1736</v>
      </c>
      <c r="Q42" s="693"/>
      <c r="R42" s="700">
        <v>549654</v>
      </c>
      <c r="S42" s="697">
        <v>-6827578</v>
      </c>
      <c r="T42" s="697">
        <v>-7788068.5470673097</v>
      </c>
      <c r="U42" s="697">
        <v>-8418902.0993797593</v>
      </c>
      <c r="V42" s="697">
        <v>-8858368.7889673803</v>
      </c>
      <c r="W42" s="698"/>
      <c r="X42" s="698"/>
      <c r="Y42" s="698"/>
      <c r="Z42" s="698"/>
      <c r="AA42" s="698"/>
      <c r="AB42" s="698"/>
      <c r="AC42" s="698"/>
      <c r="AD42" s="698"/>
      <c r="AE42" s="698"/>
      <c r="AF42" s="698"/>
      <c r="AG42" s="698"/>
      <c r="AH42" s="698"/>
      <c r="AI42" s="698"/>
      <c r="AJ42" s="698"/>
      <c r="AK42" s="698"/>
      <c r="AL42" s="698"/>
      <c r="AM42" s="698"/>
      <c r="AN42" s="698"/>
      <c r="AO42" s="698"/>
      <c r="AP42" s="698"/>
      <c r="AQ42" s="698">
        <v>0</v>
      </c>
      <c r="AR42" s="698">
        <v>0</v>
      </c>
      <c r="AS42" s="698">
        <v>0</v>
      </c>
      <c r="AT42" s="699">
        <v>0</v>
      </c>
      <c r="AU42" s="699">
        <v>0</v>
      </c>
      <c r="AV42" s="699">
        <v>0</v>
      </c>
    </row>
    <row r="43" spans="2:48" s="699" customFormat="1" x14ac:dyDescent="0.25">
      <c r="B43" s="693" t="s">
        <v>234</v>
      </c>
      <c r="C43" s="693" t="s">
        <v>1699</v>
      </c>
      <c r="D43" s="694" t="s">
        <v>1737</v>
      </c>
      <c r="E43" s="695" t="s">
        <v>1641</v>
      </c>
      <c r="F43" s="695" t="s">
        <v>1642</v>
      </c>
      <c r="G43" s="695" t="s">
        <v>144</v>
      </c>
      <c r="H43" s="695" t="s">
        <v>1494</v>
      </c>
      <c r="I43" s="695" t="s">
        <v>227</v>
      </c>
      <c r="J43" s="695" t="s">
        <v>242</v>
      </c>
      <c r="K43" s="695" t="s">
        <v>1495</v>
      </c>
      <c r="L43" s="695" t="s">
        <v>1496</v>
      </c>
      <c r="M43" s="695" t="s">
        <v>1497</v>
      </c>
      <c r="N43" s="695"/>
      <c r="O43" s="695" t="s">
        <v>136</v>
      </c>
      <c r="P43" s="693" t="s">
        <v>1738</v>
      </c>
      <c r="Q43" s="693"/>
      <c r="R43" s="700">
        <v>99312</v>
      </c>
      <c r="S43" s="697">
        <v>-6271448</v>
      </c>
      <c r="T43" s="697">
        <v>-6649992.0852193702</v>
      </c>
      <c r="U43" s="697">
        <v>-7188641.4441221403</v>
      </c>
      <c r="V43" s="697">
        <v>-7563888.5275053103</v>
      </c>
      <c r="W43" s="698"/>
      <c r="X43" s="698"/>
      <c r="Y43" s="698"/>
      <c r="Z43" s="698"/>
      <c r="AA43" s="698"/>
      <c r="AB43" s="698"/>
      <c r="AC43" s="698"/>
      <c r="AD43" s="698"/>
      <c r="AE43" s="698"/>
      <c r="AF43" s="698"/>
      <c r="AG43" s="698"/>
      <c r="AH43" s="698"/>
      <c r="AI43" s="698"/>
      <c r="AJ43" s="698"/>
      <c r="AK43" s="698"/>
      <c r="AL43" s="698"/>
      <c r="AM43" s="698"/>
      <c r="AN43" s="698"/>
      <c r="AO43" s="698"/>
      <c r="AP43" s="698"/>
      <c r="AQ43" s="698">
        <v>0</v>
      </c>
      <c r="AR43" s="698">
        <v>0</v>
      </c>
      <c r="AS43" s="698">
        <v>0</v>
      </c>
      <c r="AT43" s="699">
        <v>0</v>
      </c>
      <c r="AU43" s="699">
        <v>0</v>
      </c>
      <c r="AV43" s="699">
        <v>0</v>
      </c>
    </row>
    <row r="44" spans="2:48" s="699" customFormat="1" x14ac:dyDescent="0.25">
      <c r="B44" s="693" t="s">
        <v>234</v>
      </c>
      <c r="C44" s="693" t="s">
        <v>1699</v>
      </c>
      <c r="D44" s="694" t="s">
        <v>1739</v>
      </c>
      <c r="E44" s="695" t="s">
        <v>1641</v>
      </c>
      <c r="F44" s="695" t="s">
        <v>1642</v>
      </c>
      <c r="G44" s="695" t="s">
        <v>144</v>
      </c>
      <c r="H44" s="695" t="s">
        <v>1494</v>
      </c>
      <c r="I44" s="695" t="s">
        <v>227</v>
      </c>
      <c r="J44" s="695" t="s">
        <v>1740</v>
      </c>
      <c r="K44" s="695" t="s">
        <v>1495</v>
      </c>
      <c r="L44" s="695" t="s">
        <v>1496</v>
      </c>
      <c r="M44" s="695" t="s">
        <v>1497</v>
      </c>
      <c r="N44" s="695"/>
      <c r="O44" s="695" t="s">
        <v>136</v>
      </c>
      <c r="P44" s="693" t="s">
        <v>1741</v>
      </c>
      <c r="Q44" s="693"/>
      <c r="R44" s="700">
        <v>201409</v>
      </c>
      <c r="S44" s="697">
        <v>-7057842</v>
      </c>
      <c r="T44" s="697">
        <v>-8589356.5889086109</v>
      </c>
      <c r="U44" s="697">
        <v>-9285094.4726102091</v>
      </c>
      <c r="V44" s="697">
        <v>-9769776.4040804598</v>
      </c>
      <c r="W44" s="698"/>
      <c r="X44" s="698"/>
      <c r="Y44" s="698"/>
      <c r="Z44" s="698"/>
      <c r="AA44" s="698"/>
      <c r="AB44" s="698"/>
      <c r="AC44" s="698"/>
      <c r="AD44" s="698"/>
      <c r="AE44" s="698"/>
      <c r="AF44" s="698"/>
      <c r="AG44" s="698"/>
      <c r="AH44" s="698"/>
      <c r="AI44" s="698"/>
      <c r="AJ44" s="698"/>
      <c r="AK44" s="698"/>
      <c r="AL44" s="698"/>
      <c r="AM44" s="698"/>
      <c r="AN44" s="698"/>
      <c r="AO44" s="698"/>
      <c r="AP44" s="698"/>
      <c r="AQ44" s="698">
        <v>0</v>
      </c>
      <c r="AR44" s="698">
        <v>0</v>
      </c>
      <c r="AS44" s="698">
        <v>0</v>
      </c>
      <c r="AT44" s="699">
        <v>0</v>
      </c>
      <c r="AU44" s="699">
        <v>0</v>
      </c>
      <c r="AV44" s="699">
        <v>0</v>
      </c>
    </row>
    <row r="45" spans="2:48" s="699" customFormat="1" x14ac:dyDescent="0.25">
      <c r="B45" s="693" t="s">
        <v>234</v>
      </c>
      <c r="C45" s="693" t="s">
        <v>1699</v>
      </c>
      <c r="D45" s="694" t="s">
        <v>1742</v>
      </c>
      <c r="E45" s="695" t="s">
        <v>1641</v>
      </c>
      <c r="F45" s="695" t="s">
        <v>1642</v>
      </c>
      <c r="G45" s="695" t="s">
        <v>144</v>
      </c>
      <c r="H45" s="695" t="s">
        <v>1494</v>
      </c>
      <c r="I45" s="695" t="s">
        <v>227</v>
      </c>
      <c r="J45" s="695" t="s">
        <v>1743</v>
      </c>
      <c r="K45" s="695" t="s">
        <v>1495</v>
      </c>
      <c r="L45" s="695" t="s">
        <v>1496</v>
      </c>
      <c r="M45" s="695" t="s">
        <v>1497</v>
      </c>
      <c r="N45" s="695"/>
      <c r="O45" s="695" t="s">
        <v>136</v>
      </c>
      <c r="P45" s="693" t="s">
        <v>1744</v>
      </c>
      <c r="Q45" s="693"/>
      <c r="R45" s="700">
        <v>95961</v>
      </c>
      <c r="S45" s="697">
        <v>-12601542</v>
      </c>
      <c r="T45" s="697">
        <v>-15217073.8417078</v>
      </c>
      <c r="U45" s="697">
        <v>-16449656.8228861</v>
      </c>
      <c r="V45" s="697">
        <v>-17308328.909040801</v>
      </c>
      <c r="W45" s="698"/>
      <c r="X45" s="698"/>
      <c r="Y45" s="698"/>
      <c r="Z45" s="698"/>
      <c r="AA45" s="698"/>
      <c r="AB45" s="698"/>
      <c r="AC45" s="698"/>
      <c r="AD45" s="698"/>
      <c r="AE45" s="698"/>
      <c r="AF45" s="698"/>
      <c r="AG45" s="698"/>
      <c r="AH45" s="698"/>
      <c r="AI45" s="698"/>
      <c r="AJ45" s="698"/>
      <c r="AK45" s="698"/>
      <c r="AL45" s="698"/>
      <c r="AM45" s="698"/>
      <c r="AN45" s="698"/>
      <c r="AO45" s="698"/>
      <c r="AP45" s="698"/>
      <c r="AQ45" s="698">
        <v>0</v>
      </c>
      <c r="AR45" s="698">
        <v>0</v>
      </c>
      <c r="AS45" s="698">
        <v>0</v>
      </c>
      <c r="AT45" s="699">
        <v>0</v>
      </c>
      <c r="AU45" s="699">
        <v>0</v>
      </c>
      <c r="AV45" s="699">
        <v>0</v>
      </c>
    </row>
    <row r="46" spans="2:48" s="699" customFormat="1" x14ac:dyDescent="0.25">
      <c r="B46" s="693" t="s">
        <v>234</v>
      </c>
      <c r="C46" s="693" t="s">
        <v>1699</v>
      </c>
      <c r="D46" s="694" t="s">
        <v>1745</v>
      </c>
      <c r="E46" s="695" t="s">
        <v>1641</v>
      </c>
      <c r="F46" s="695" t="s">
        <v>1642</v>
      </c>
      <c r="G46" s="695" t="s">
        <v>144</v>
      </c>
      <c r="H46" s="695" t="s">
        <v>1494</v>
      </c>
      <c r="I46" s="695" t="s">
        <v>227</v>
      </c>
      <c r="J46" s="695" t="s">
        <v>1746</v>
      </c>
      <c r="K46" s="695" t="s">
        <v>1495</v>
      </c>
      <c r="L46" s="695" t="s">
        <v>1496</v>
      </c>
      <c r="M46" s="695" t="s">
        <v>1497</v>
      </c>
      <c r="N46" s="695"/>
      <c r="O46" s="695" t="s">
        <v>136</v>
      </c>
      <c r="P46" s="693" t="s">
        <v>1506</v>
      </c>
      <c r="Q46" s="693"/>
      <c r="R46" s="700">
        <v>-51171</v>
      </c>
      <c r="S46" s="697">
        <v>-10136885</v>
      </c>
      <c r="T46" s="697">
        <v>-12991471.329742</v>
      </c>
      <c r="U46" s="697">
        <v>-14043780.5074511</v>
      </c>
      <c r="V46" s="697">
        <v>-14776865.84994</v>
      </c>
      <c r="W46" s="698"/>
      <c r="X46" s="698"/>
      <c r="Y46" s="698"/>
      <c r="Z46" s="698"/>
      <c r="AA46" s="698"/>
      <c r="AB46" s="698"/>
      <c r="AC46" s="698"/>
      <c r="AD46" s="698"/>
      <c r="AE46" s="698"/>
      <c r="AF46" s="698"/>
      <c r="AG46" s="698"/>
      <c r="AH46" s="698"/>
      <c r="AI46" s="698"/>
      <c r="AJ46" s="698"/>
      <c r="AK46" s="698"/>
      <c r="AL46" s="698"/>
      <c r="AM46" s="698"/>
      <c r="AN46" s="698"/>
      <c r="AO46" s="698"/>
      <c r="AP46" s="698"/>
      <c r="AQ46" s="698">
        <v>0</v>
      </c>
      <c r="AR46" s="698">
        <v>0</v>
      </c>
      <c r="AS46" s="698">
        <v>0</v>
      </c>
      <c r="AT46" s="699">
        <v>0</v>
      </c>
      <c r="AU46" s="699">
        <v>0</v>
      </c>
      <c r="AV46" s="699">
        <v>0</v>
      </c>
    </row>
    <row r="47" spans="2:48" s="699" customFormat="1" x14ac:dyDescent="0.25">
      <c r="B47" s="693" t="s">
        <v>234</v>
      </c>
      <c r="C47" s="693" t="s">
        <v>1699</v>
      </c>
      <c r="D47" s="694" t="s">
        <v>1747</v>
      </c>
      <c r="E47" s="695" t="s">
        <v>1641</v>
      </c>
      <c r="F47" s="695" t="s">
        <v>1642</v>
      </c>
      <c r="G47" s="695" t="s">
        <v>144</v>
      </c>
      <c r="H47" s="695" t="s">
        <v>1494</v>
      </c>
      <c r="I47" s="695" t="s">
        <v>227</v>
      </c>
      <c r="J47" s="695" t="s">
        <v>1748</v>
      </c>
      <c r="K47" s="695" t="s">
        <v>1495</v>
      </c>
      <c r="L47" s="695" t="s">
        <v>1496</v>
      </c>
      <c r="M47" s="695" t="s">
        <v>1497</v>
      </c>
      <c r="N47" s="695"/>
      <c r="O47" s="695" t="s">
        <v>136</v>
      </c>
      <c r="P47" s="693" t="s">
        <v>1749</v>
      </c>
      <c r="Q47" s="693"/>
      <c r="R47" s="700">
        <v>-16843</v>
      </c>
      <c r="S47" s="697">
        <v>-973736</v>
      </c>
      <c r="T47" s="697">
        <v>-1129234.6128</v>
      </c>
      <c r="U47" s="697">
        <v>-1220702.6164368</v>
      </c>
      <c r="V47" s="697">
        <v>-1284423.2930147999</v>
      </c>
      <c r="W47" s="698"/>
      <c r="X47" s="698"/>
      <c r="Y47" s="698"/>
      <c r="Z47" s="698"/>
      <c r="AA47" s="698"/>
      <c r="AB47" s="698"/>
      <c r="AC47" s="698"/>
      <c r="AD47" s="698"/>
      <c r="AE47" s="698"/>
      <c r="AF47" s="698"/>
      <c r="AG47" s="698"/>
      <c r="AH47" s="698"/>
      <c r="AI47" s="698"/>
      <c r="AJ47" s="698"/>
      <c r="AK47" s="698"/>
      <c r="AL47" s="698"/>
      <c r="AM47" s="698"/>
      <c r="AN47" s="698"/>
      <c r="AO47" s="698"/>
      <c r="AP47" s="698"/>
      <c r="AQ47" s="698">
        <v>0</v>
      </c>
      <c r="AR47" s="698">
        <v>0</v>
      </c>
      <c r="AS47" s="698">
        <v>0</v>
      </c>
      <c r="AT47" s="699">
        <v>0</v>
      </c>
      <c r="AU47" s="699">
        <v>0</v>
      </c>
      <c r="AV47" s="699">
        <v>0</v>
      </c>
    </row>
    <row r="48" spans="2:48" s="699" customFormat="1" x14ac:dyDescent="0.25">
      <c r="B48" s="693" t="s">
        <v>234</v>
      </c>
      <c r="C48" s="693" t="s">
        <v>1699</v>
      </c>
      <c r="D48" s="694" t="s">
        <v>1750</v>
      </c>
      <c r="E48" s="695" t="s">
        <v>1641</v>
      </c>
      <c r="F48" s="695" t="s">
        <v>1642</v>
      </c>
      <c r="G48" s="695" t="s">
        <v>144</v>
      </c>
      <c r="H48" s="695" t="s">
        <v>1494</v>
      </c>
      <c r="I48" s="695" t="s">
        <v>227</v>
      </c>
      <c r="J48" s="695" t="s">
        <v>1751</v>
      </c>
      <c r="K48" s="695" t="s">
        <v>1495</v>
      </c>
      <c r="L48" s="695" t="s">
        <v>1496</v>
      </c>
      <c r="M48" s="695" t="s">
        <v>1497</v>
      </c>
      <c r="N48" s="695"/>
      <c r="O48" s="695" t="s">
        <v>136</v>
      </c>
      <c r="P48" s="693" t="s">
        <v>1507</v>
      </c>
      <c r="Q48" s="693"/>
      <c r="R48" s="700">
        <v>-284959</v>
      </c>
      <c r="S48" s="697">
        <v>-2067699</v>
      </c>
      <c r="T48" s="697">
        <v>-2050378.36391334</v>
      </c>
      <c r="U48" s="697">
        <v>-2216459.01139032</v>
      </c>
      <c r="V48" s="697">
        <v>-2332158.1717849001</v>
      </c>
      <c r="W48" s="698"/>
      <c r="X48" s="698"/>
      <c r="Y48" s="698"/>
      <c r="Z48" s="698"/>
      <c r="AA48" s="698"/>
      <c r="AB48" s="698"/>
      <c r="AC48" s="698"/>
      <c r="AD48" s="698"/>
      <c r="AE48" s="698"/>
      <c r="AF48" s="698"/>
      <c r="AG48" s="698"/>
      <c r="AH48" s="698"/>
      <c r="AI48" s="698"/>
      <c r="AJ48" s="698"/>
      <c r="AK48" s="698"/>
      <c r="AL48" s="698"/>
      <c r="AM48" s="698"/>
      <c r="AN48" s="698"/>
      <c r="AO48" s="698"/>
      <c r="AP48" s="698"/>
      <c r="AQ48" s="698">
        <v>0</v>
      </c>
      <c r="AR48" s="698">
        <v>0</v>
      </c>
      <c r="AS48" s="698">
        <v>0</v>
      </c>
      <c r="AT48" s="699">
        <v>0</v>
      </c>
      <c r="AU48" s="699">
        <v>0</v>
      </c>
      <c r="AV48" s="699">
        <v>0</v>
      </c>
    </row>
    <row r="49" spans="2:48" s="699" customFormat="1" x14ac:dyDescent="0.25">
      <c r="B49" s="693" t="s">
        <v>234</v>
      </c>
      <c r="C49" s="693" t="s">
        <v>1699</v>
      </c>
      <c r="D49" s="694" t="s">
        <v>1752</v>
      </c>
      <c r="E49" s="695" t="s">
        <v>1641</v>
      </c>
      <c r="F49" s="695" t="s">
        <v>1642</v>
      </c>
      <c r="G49" s="695" t="s">
        <v>144</v>
      </c>
      <c r="H49" s="695" t="s">
        <v>1494</v>
      </c>
      <c r="I49" s="695" t="s">
        <v>227</v>
      </c>
      <c r="J49" s="695" t="s">
        <v>483</v>
      </c>
      <c r="K49" s="695" t="s">
        <v>1495</v>
      </c>
      <c r="L49" s="695" t="s">
        <v>1496</v>
      </c>
      <c r="M49" s="695" t="s">
        <v>1497</v>
      </c>
      <c r="N49" s="695"/>
      <c r="O49" s="695" t="s">
        <v>136</v>
      </c>
      <c r="P49" s="693" t="s">
        <v>1508</v>
      </c>
      <c r="Q49" s="693"/>
      <c r="R49" s="700">
        <v>1320226</v>
      </c>
      <c r="S49" s="697">
        <v>-6104330</v>
      </c>
      <c r="T49" s="697">
        <v>-6675918.9773736596</v>
      </c>
      <c r="U49" s="697">
        <v>-7216668.4145409297</v>
      </c>
      <c r="V49" s="697">
        <v>-7593378.5057799602</v>
      </c>
      <c r="W49" s="698"/>
      <c r="X49" s="698"/>
      <c r="Y49" s="698"/>
      <c r="Z49" s="698"/>
      <c r="AA49" s="698"/>
      <c r="AB49" s="698"/>
      <c r="AC49" s="698"/>
      <c r="AD49" s="698"/>
      <c r="AE49" s="698"/>
      <c r="AF49" s="698"/>
      <c r="AG49" s="698"/>
      <c r="AH49" s="698"/>
      <c r="AI49" s="698"/>
      <c r="AJ49" s="698"/>
      <c r="AK49" s="698"/>
      <c r="AL49" s="698"/>
      <c r="AM49" s="698"/>
      <c r="AN49" s="698"/>
      <c r="AO49" s="698"/>
      <c r="AP49" s="698"/>
      <c r="AQ49" s="698">
        <v>0</v>
      </c>
      <c r="AR49" s="698">
        <v>0</v>
      </c>
      <c r="AS49" s="698">
        <v>0</v>
      </c>
      <c r="AT49" s="699">
        <v>0</v>
      </c>
      <c r="AU49" s="699">
        <v>0</v>
      </c>
      <c r="AV49" s="699">
        <v>0</v>
      </c>
    </row>
    <row r="50" spans="2:48" s="699" customFormat="1" x14ac:dyDescent="0.25">
      <c r="B50" s="693" t="s">
        <v>234</v>
      </c>
      <c r="C50" s="693" t="s">
        <v>1699</v>
      </c>
      <c r="D50" s="694" t="s">
        <v>1753</v>
      </c>
      <c r="E50" s="695" t="s">
        <v>1641</v>
      </c>
      <c r="F50" s="695" t="s">
        <v>1642</v>
      </c>
      <c r="G50" s="695" t="s">
        <v>144</v>
      </c>
      <c r="H50" s="695" t="s">
        <v>1494</v>
      </c>
      <c r="I50" s="695" t="s">
        <v>227</v>
      </c>
      <c r="J50" s="695" t="s">
        <v>285</v>
      </c>
      <c r="K50" s="695" t="s">
        <v>1495</v>
      </c>
      <c r="L50" s="695" t="s">
        <v>1496</v>
      </c>
      <c r="M50" s="695" t="s">
        <v>1497</v>
      </c>
      <c r="N50" s="695"/>
      <c r="O50" s="695" t="s">
        <v>136</v>
      </c>
      <c r="P50" s="693" t="s">
        <v>1754</v>
      </c>
      <c r="Q50" s="693"/>
      <c r="R50" s="700">
        <v>3211416</v>
      </c>
      <c r="S50" s="697">
        <v>-10358363</v>
      </c>
      <c r="T50" s="697">
        <v>-11189810.4713278</v>
      </c>
      <c r="U50" s="697">
        <v>-12096185.1195054</v>
      </c>
      <c r="V50" s="697">
        <v>-12727605.9827435</v>
      </c>
      <c r="W50" s="698"/>
      <c r="X50" s="698"/>
      <c r="Y50" s="698"/>
      <c r="Z50" s="698"/>
      <c r="AA50" s="698"/>
      <c r="AB50" s="698"/>
      <c r="AC50" s="698"/>
      <c r="AD50" s="698"/>
      <c r="AE50" s="698"/>
      <c r="AF50" s="698"/>
      <c r="AG50" s="698"/>
      <c r="AH50" s="698"/>
      <c r="AI50" s="698"/>
      <c r="AJ50" s="698"/>
      <c r="AK50" s="698"/>
      <c r="AL50" s="698"/>
      <c r="AM50" s="698"/>
      <c r="AN50" s="698"/>
      <c r="AO50" s="698"/>
      <c r="AP50" s="698"/>
      <c r="AQ50" s="698">
        <v>0</v>
      </c>
      <c r="AR50" s="698">
        <v>0</v>
      </c>
      <c r="AS50" s="698">
        <v>0</v>
      </c>
      <c r="AT50" s="699">
        <v>0</v>
      </c>
      <c r="AU50" s="699">
        <v>0</v>
      </c>
      <c r="AV50" s="699">
        <v>0</v>
      </c>
    </row>
    <row r="51" spans="2:48" s="699" customFormat="1" x14ac:dyDescent="0.25">
      <c r="B51" s="693" t="s">
        <v>234</v>
      </c>
      <c r="C51" s="693" t="s">
        <v>1699</v>
      </c>
      <c r="D51" s="694" t="s">
        <v>1755</v>
      </c>
      <c r="E51" s="695" t="s">
        <v>1641</v>
      </c>
      <c r="F51" s="695" t="s">
        <v>1642</v>
      </c>
      <c r="G51" s="695" t="s">
        <v>144</v>
      </c>
      <c r="H51" s="695" t="s">
        <v>1494</v>
      </c>
      <c r="I51" s="695" t="s">
        <v>227</v>
      </c>
      <c r="J51" s="695" t="s">
        <v>234</v>
      </c>
      <c r="K51" s="695" t="s">
        <v>1495</v>
      </c>
      <c r="L51" s="695" t="s">
        <v>1496</v>
      </c>
      <c r="M51" s="695" t="s">
        <v>1497</v>
      </c>
      <c r="N51" s="695"/>
      <c r="O51" s="695" t="s">
        <v>136</v>
      </c>
      <c r="P51" s="693" t="s">
        <v>1509</v>
      </c>
      <c r="Q51" s="693"/>
      <c r="R51" s="700">
        <v>1304038</v>
      </c>
      <c r="S51" s="697">
        <v>-7985879</v>
      </c>
      <c r="T51" s="697">
        <v>-8409172.2561933491</v>
      </c>
      <c r="U51" s="697">
        <v>-9090315.2089450099</v>
      </c>
      <c r="V51" s="697">
        <v>-9564829.6628519408</v>
      </c>
      <c r="W51" s="698"/>
      <c r="X51" s="698"/>
      <c r="Y51" s="698"/>
      <c r="Z51" s="698"/>
      <c r="AA51" s="698"/>
      <c r="AB51" s="698"/>
      <c r="AC51" s="698"/>
      <c r="AD51" s="698"/>
      <c r="AE51" s="698"/>
      <c r="AF51" s="698"/>
      <c r="AG51" s="698"/>
      <c r="AH51" s="698"/>
      <c r="AI51" s="698"/>
      <c r="AJ51" s="698"/>
      <c r="AK51" s="698"/>
      <c r="AL51" s="698"/>
      <c r="AM51" s="698"/>
      <c r="AN51" s="698"/>
      <c r="AO51" s="698"/>
      <c r="AP51" s="698"/>
      <c r="AQ51" s="698">
        <v>0</v>
      </c>
      <c r="AR51" s="698">
        <v>0</v>
      </c>
      <c r="AS51" s="698">
        <v>0</v>
      </c>
      <c r="AT51" s="699">
        <v>0</v>
      </c>
      <c r="AU51" s="699">
        <v>0</v>
      </c>
      <c r="AV51" s="699">
        <v>0</v>
      </c>
    </row>
    <row r="52" spans="2:48" s="699" customFormat="1" x14ac:dyDescent="0.25">
      <c r="B52" s="693" t="s">
        <v>234</v>
      </c>
      <c r="C52" s="693" t="s">
        <v>1699</v>
      </c>
      <c r="D52" s="694" t="s">
        <v>1756</v>
      </c>
      <c r="E52" s="695" t="s">
        <v>1641</v>
      </c>
      <c r="F52" s="695" t="s">
        <v>1642</v>
      </c>
      <c r="G52" s="695" t="s">
        <v>144</v>
      </c>
      <c r="H52" s="695" t="s">
        <v>1494</v>
      </c>
      <c r="I52" s="695" t="s">
        <v>227</v>
      </c>
      <c r="J52" s="695" t="s">
        <v>1757</v>
      </c>
      <c r="K52" s="695" t="s">
        <v>1495</v>
      </c>
      <c r="L52" s="695" t="s">
        <v>1496</v>
      </c>
      <c r="M52" s="695" t="s">
        <v>1497</v>
      </c>
      <c r="N52" s="695"/>
      <c r="O52" s="695" t="s">
        <v>136</v>
      </c>
      <c r="P52" s="693" t="s">
        <v>1510</v>
      </c>
      <c r="Q52" s="693"/>
      <c r="R52" s="700">
        <v>1411443</v>
      </c>
      <c r="S52" s="697">
        <v>-9104553</v>
      </c>
      <c r="T52" s="697">
        <v>-10630137.536152201</v>
      </c>
      <c r="U52" s="697">
        <v>-11491178.6765805</v>
      </c>
      <c r="V52" s="697">
        <v>-12091018.203498</v>
      </c>
      <c r="W52" s="698"/>
      <c r="X52" s="698"/>
      <c r="Y52" s="698"/>
      <c r="Z52" s="698"/>
      <c r="AA52" s="698"/>
      <c r="AB52" s="698"/>
      <c r="AC52" s="698"/>
      <c r="AD52" s="698"/>
      <c r="AE52" s="698"/>
      <c r="AF52" s="698"/>
      <c r="AG52" s="698"/>
      <c r="AH52" s="698"/>
      <c r="AI52" s="698"/>
      <c r="AJ52" s="698"/>
      <c r="AK52" s="698"/>
      <c r="AL52" s="698"/>
      <c r="AM52" s="698"/>
      <c r="AN52" s="698"/>
      <c r="AO52" s="698"/>
      <c r="AP52" s="698"/>
      <c r="AQ52" s="698">
        <v>0</v>
      </c>
      <c r="AR52" s="698">
        <v>0</v>
      </c>
      <c r="AS52" s="698">
        <v>0</v>
      </c>
      <c r="AT52" s="699">
        <v>0</v>
      </c>
      <c r="AU52" s="699">
        <v>0</v>
      </c>
      <c r="AV52" s="699">
        <v>0</v>
      </c>
    </row>
    <row r="53" spans="2:48" s="699" customFormat="1" x14ac:dyDescent="0.25">
      <c r="B53" s="693" t="s">
        <v>234</v>
      </c>
      <c r="C53" s="693" t="s">
        <v>1699</v>
      </c>
      <c r="D53" s="694" t="s">
        <v>1758</v>
      </c>
      <c r="E53" s="695" t="s">
        <v>1641</v>
      </c>
      <c r="F53" s="695" t="s">
        <v>1642</v>
      </c>
      <c r="G53" s="695" t="s">
        <v>144</v>
      </c>
      <c r="H53" s="695" t="s">
        <v>1494</v>
      </c>
      <c r="I53" s="695" t="s">
        <v>227</v>
      </c>
      <c r="J53" s="695" t="s">
        <v>232</v>
      </c>
      <c r="K53" s="695" t="s">
        <v>1495</v>
      </c>
      <c r="L53" s="695" t="s">
        <v>1496</v>
      </c>
      <c r="M53" s="695" t="s">
        <v>1497</v>
      </c>
      <c r="N53" s="695"/>
      <c r="O53" s="695" t="s">
        <v>136</v>
      </c>
      <c r="P53" s="693" t="s">
        <v>1759</v>
      </c>
      <c r="Q53" s="693"/>
      <c r="R53" s="700">
        <v>2976373</v>
      </c>
      <c r="S53" s="697">
        <v>-16085514</v>
      </c>
      <c r="T53" s="697">
        <v>-19262916.2121071</v>
      </c>
      <c r="U53" s="697">
        <v>-20823212.425287701</v>
      </c>
      <c r="V53" s="697">
        <v>-21910184.113887701</v>
      </c>
      <c r="W53" s="698"/>
      <c r="X53" s="698"/>
      <c r="Y53" s="698"/>
      <c r="Z53" s="698"/>
      <c r="AA53" s="698"/>
      <c r="AB53" s="698"/>
      <c r="AC53" s="698"/>
      <c r="AD53" s="698"/>
      <c r="AE53" s="698"/>
      <c r="AF53" s="698"/>
      <c r="AG53" s="698"/>
      <c r="AH53" s="698"/>
      <c r="AI53" s="698"/>
      <c r="AJ53" s="698"/>
      <c r="AK53" s="698"/>
      <c r="AL53" s="698"/>
      <c r="AM53" s="698"/>
      <c r="AN53" s="698"/>
      <c r="AO53" s="698"/>
      <c r="AP53" s="698"/>
      <c r="AQ53" s="698">
        <v>0</v>
      </c>
      <c r="AR53" s="698">
        <v>0</v>
      </c>
      <c r="AS53" s="698">
        <v>0</v>
      </c>
      <c r="AT53" s="699">
        <v>0</v>
      </c>
      <c r="AU53" s="699">
        <v>0</v>
      </c>
      <c r="AV53" s="699">
        <v>0</v>
      </c>
    </row>
    <row r="54" spans="2:48" s="699" customFormat="1" x14ac:dyDescent="0.25">
      <c r="B54" s="693" t="s">
        <v>234</v>
      </c>
      <c r="C54" s="693" t="s">
        <v>1699</v>
      </c>
      <c r="D54" s="694" t="s">
        <v>1760</v>
      </c>
      <c r="E54" s="695" t="s">
        <v>1641</v>
      </c>
      <c r="F54" s="695" t="s">
        <v>1642</v>
      </c>
      <c r="G54" s="695" t="s">
        <v>144</v>
      </c>
      <c r="H54" s="695" t="s">
        <v>1494</v>
      </c>
      <c r="I54" s="695" t="s">
        <v>227</v>
      </c>
      <c r="J54" s="695" t="s">
        <v>231</v>
      </c>
      <c r="K54" s="695" t="s">
        <v>1495</v>
      </c>
      <c r="L54" s="695" t="s">
        <v>1496</v>
      </c>
      <c r="M54" s="695" t="s">
        <v>1497</v>
      </c>
      <c r="N54" s="695"/>
      <c r="O54" s="695" t="s">
        <v>136</v>
      </c>
      <c r="P54" s="693" t="s">
        <v>1761</v>
      </c>
      <c r="Q54" s="693"/>
      <c r="R54" s="700">
        <v>1442999</v>
      </c>
      <c r="S54" s="697">
        <v>-13212546</v>
      </c>
      <c r="T54" s="697">
        <v>-15632184.908232599</v>
      </c>
      <c r="U54" s="697">
        <v>-16898391.885799401</v>
      </c>
      <c r="V54" s="697">
        <v>-17780487.9422382</v>
      </c>
      <c r="W54" s="698"/>
      <c r="X54" s="698"/>
      <c r="Y54" s="698"/>
      <c r="Z54" s="698"/>
      <c r="AA54" s="698"/>
      <c r="AB54" s="698"/>
      <c r="AC54" s="698"/>
      <c r="AD54" s="698"/>
      <c r="AE54" s="698"/>
      <c r="AF54" s="698"/>
      <c r="AG54" s="698"/>
      <c r="AH54" s="698"/>
      <c r="AI54" s="698"/>
      <c r="AJ54" s="698"/>
      <c r="AK54" s="698"/>
      <c r="AL54" s="698"/>
      <c r="AM54" s="698"/>
      <c r="AN54" s="698"/>
      <c r="AO54" s="698"/>
      <c r="AP54" s="698"/>
      <c r="AQ54" s="698">
        <v>0</v>
      </c>
      <c r="AR54" s="698">
        <v>0</v>
      </c>
      <c r="AS54" s="698">
        <v>0</v>
      </c>
      <c r="AT54" s="699">
        <v>0</v>
      </c>
      <c r="AU54" s="699">
        <v>0</v>
      </c>
      <c r="AV54" s="699">
        <v>0</v>
      </c>
    </row>
    <row r="55" spans="2:48" s="699" customFormat="1" x14ac:dyDescent="0.25">
      <c r="B55" s="693" t="s">
        <v>234</v>
      </c>
      <c r="C55" s="693" t="s">
        <v>1699</v>
      </c>
      <c r="D55" s="694" t="s">
        <v>1762</v>
      </c>
      <c r="E55" s="695" t="s">
        <v>1641</v>
      </c>
      <c r="F55" s="695" t="s">
        <v>1642</v>
      </c>
      <c r="G55" s="695" t="s">
        <v>144</v>
      </c>
      <c r="H55" s="695" t="s">
        <v>1494</v>
      </c>
      <c r="I55" s="695" t="s">
        <v>227</v>
      </c>
      <c r="J55" s="695" t="s">
        <v>1763</v>
      </c>
      <c r="K55" s="695" t="s">
        <v>1495</v>
      </c>
      <c r="L55" s="695" t="s">
        <v>1496</v>
      </c>
      <c r="M55" s="695" t="s">
        <v>1497</v>
      </c>
      <c r="N55" s="695"/>
      <c r="O55" s="695" t="s">
        <v>136</v>
      </c>
      <c r="P55" s="693" t="s">
        <v>1764</v>
      </c>
      <c r="Q55" s="693"/>
      <c r="R55" s="700">
        <v>-505858</v>
      </c>
      <c r="S55" s="697">
        <v>-6409439</v>
      </c>
      <c r="T55" s="697">
        <v>-7241277.0512849996</v>
      </c>
      <c r="U55" s="697">
        <v>-7827820.4924390903</v>
      </c>
      <c r="V55" s="697">
        <v>-8236432.72214441</v>
      </c>
      <c r="W55" s="698"/>
      <c r="X55" s="698"/>
      <c r="Y55" s="698"/>
      <c r="Z55" s="698"/>
      <c r="AA55" s="698"/>
      <c r="AB55" s="698"/>
      <c r="AC55" s="698"/>
      <c r="AD55" s="698"/>
      <c r="AE55" s="698"/>
      <c r="AF55" s="698"/>
      <c r="AG55" s="698"/>
      <c r="AH55" s="698"/>
      <c r="AI55" s="698"/>
      <c r="AJ55" s="698"/>
      <c r="AK55" s="698"/>
      <c r="AL55" s="698"/>
      <c r="AM55" s="698"/>
      <c r="AN55" s="698"/>
      <c r="AO55" s="698"/>
      <c r="AP55" s="698"/>
      <c r="AQ55" s="698">
        <v>0</v>
      </c>
      <c r="AR55" s="698">
        <v>0</v>
      </c>
      <c r="AS55" s="698">
        <v>0</v>
      </c>
      <c r="AT55" s="699">
        <v>0</v>
      </c>
      <c r="AU55" s="699">
        <v>0</v>
      </c>
      <c r="AV55" s="699">
        <v>0</v>
      </c>
    </row>
    <row r="56" spans="2:48" s="699" customFormat="1" x14ac:dyDescent="0.25">
      <c r="B56" s="693" t="s">
        <v>234</v>
      </c>
      <c r="C56" s="693" t="s">
        <v>1699</v>
      </c>
      <c r="D56" s="694" t="s">
        <v>1765</v>
      </c>
      <c r="E56" s="695" t="s">
        <v>1641</v>
      </c>
      <c r="F56" s="695" t="s">
        <v>1642</v>
      </c>
      <c r="G56" s="695" t="s">
        <v>144</v>
      </c>
      <c r="H56" s="695" t="s">
        <v>1494</v>
      </c>
      <c r="I56" s="695" t="s">
        <v>227</v>
      </c>
      <c r="J56" s="695" t="s">
        <v>1766</v>
      </c>
      <c r="K56" s="695" t="s">
        <v>1495</v>
      </c>
      <c r="L56" s="695" t="s">
        <v>1496</v>
      </c>
      <c r="M56" s="695" t="s">
        <v>1497</v>
      </c>
      <c r="N56" s="695"/>
      <c r="O56" s="695" t="s">
        <v>136</v>
      </c>
      <c r="P56" s="693" t="s">
        <v>1511</v>
      </c>
      <c r="Q56" s="693"/>
      <c r="R56" s="700">
        <v>124219</v>
      </c>
      <c r="S56" s="697">
        <v>-2175077</v>
      </c>
      <c r="T56" s="697">
        <v>-2320631.6060531</v>
      </c>
      <c r="U56" s="697">
        <v>-2508602.7661434002</v>
      </c>
      <c r="V56" s="697">
        <v>-2639551.8305360898</v>
      </c>
      <c r="W56" s="698"/>
      <c r="X56" s="698"/>
      <c r="Y56" s="698"/>
      <c r="Z56" s="698"/>
      <c r="AA56" s="698"/>
      <c r="AB56" s="698"/>
      <c r="AC56" s="698"/>
      <c r="AD56" s="698"/>
      <c r="AE56" s="698"/>
      <c r="AF56" s="698"/>
      <c r="AG56" s="698"/>
      <c r="AH56" s="698"/>
      <c r="AI56" s="698"/>
      <c r="AJ56" s="698"/>
      <c r="AK56" s="698"/>
      <c r="AL56" s="698"/>
      <c r="AM56" s="698"/>
      <c r="AN56" s="698"/>
      <c r="AO56" s="698"/>
      <c r="AP56" s="698"/>
      <c r="AQ56" s="698">
        <v>0</v>
      </c>
      <c r="AR56" s="698">
        <v>0</v>
      </c>
      <c r="AS56" s="698">
        <v>0</v>
      </c>
      <c r="AT56" s="699">
        <v>0</v>
      </c>
      <c r="AU56" s="699">
        <v>0</v>
      </c>
      <c r="AV56" s="699">
        <v>0</v>
      </c>
    </row>
    <row r="57" spans="2:48" s="699" customFormat="1" x14ac:dyDescent="0.25">
      <c r="B57" s="693" t="s">
        <v>234</v>
      </c>
      <c r="C57" s="693" t="s">
        <v>1767</v>
      </c>
      <c r="D57" s="694" t="s">
        <v>1768</v>
      </c>
      <c r="E57" s="695" t="s">
        <v>1641</v>
      </c>
      <c r="F57" s="695" t="s">
        <v>1642</v>
      </c>
      <c r="G57" s="695" t="s">
        <v>144</v>
      </c>
      <c r="H57" s="695" t="s">
        <v>1494</v>
      </c>
      <c r="I57" s="695" t="s">
        <v>228</v>
      </c>
      <c r="J57" s="695" t="s">
        <v>155</v>
      </c>
      <c r="K57" s="695" t="s">
        <v>1495</v>
      </c>
      <c r="L57" s="695" t="s">
        <v>1496</v>
      </c>
      <c r="M57" s="695" t="s">
        <v>1497</v>
      </c>
      <c r="N57" s="695"/>
      <c r="O57" s="695" t="s">
        <v>136</v>
      </c>
      <c r="P57" s="693" t="s">
        <v>1769</v>
      </c>
      <c r="Q57" s="693"/>
      <c r="R57" s="700">
        <v>-9595039</v>
      </c>
      <c r="S57" s="697">
        <v>-19224370</v>
      </c>
      <c r="T57" s="697">
        <v>-20847469.422151599</v>
      </c>
      <c r="U57" s="697">
        <v>-22536114.4453458</v>
      </c>
      <c r="V57" s="697">
        <v>-23712499.619392902</v>
      </c>
      <c r="W57" s="698"/>
      <c r="X57" s="698"/>
      <c r="Y57" s="698"/>
      <c r="Z57" s="698"/>
      <c r="AA57" s="698"/>
      <c r="AB57" s="698"/>
      <c r="AC57" s="698"/>
      <c r="AD57" s="698"/>
      <c r="AE57" s="698"/>
      <c r="AF57" s="698"/>
      <c r="AG57" s="698"/>
      <c r="AH57" s="698"/>
      <c r="AI57" s="698"/>
      <c r="AJ57" s="698"/>
      <c r="AK57" s="698"/>
      <c r="AL57" s="698"/>
      <c r="AM57" s="698"/>
      <c r="AN57" s="698"/>
      <c r="AO57" s="698"/>
      <c r="AP57" s="698"/>
      <c r="AQ57" s="698">
        <v>0</v>
      </c>
      <c r="AR57" s="698">
        <v>0</v>
      </c>
      <c r="AS57" s="698">
        <v>0</v>
      </c>
      <c r="AT57" s="699">
        <v>0</v>
      </c>
      <c r="AU57" s="699">
        <v>0</v>
      </c>
      <c r="AV57" s="699">
        <v>0</v>
      </c>
    </row>
    <row r="58" spans="2:48" s="699" customFormat="1" x14ac:dyDescent="0.25">
      <c r="B58" s="693" t="s">
        <v>234</v>
      </c>
      <c r="C58" s="693" t="s">
        <v>1770</v>
      </c>
      <c r="D58" s="694" t="s">
        <v>1771</v>
      </c>
      <c r="E58" s="695" t="s">
        <v>1641</v>
      </c>
      <c r="F58" s="695" t="s">
        <v>1642</v>
      </c>
      <c r="G58" s="695" t="s">
        <v>144</v>
      </c>
      <c r="H58" s="695" t="s">
        <v>1494</v>
      </c>
      <c r="I58" s="695" t="s">
        <v>229</v>
      </c>
      <c r="J58" s="695" t="s">
        <v>144</v>
      </c>
      <c r="K58" s="695" t="s">
        <v>1495</v>
      </c>
      <c r="L58" s="695" t="s">
        <v>1496</v>
      </c>
      <c r="M58" s="695" t="s">
        <v>1497</v>
      </c>
      <c r="N58" s="695"/>
      <c r="O58" s="695" t="s">
        <v>136</v>
      </c>
      <c r="P58" s="693" t="s">
        <v>1772</v>
      </c>
      <c r="Q58" s="693"/>
      <c r="R58" s="700">
        <v>-3059154</v>
      </c>
      <c r="S58" s="697">
        <v>-43538818</v>
      </c>
      <c r="T58" s="697">
        <v>-34346448.283803001</v>
      </c>
      <c r="U58" s="697">
        <v>-37128510.594791003</v>
      </c>
      <c r="V58" s="697">
        <v>-39066618.847839102</v>
      </c>
      <c r="W58" s="698"/>
      <c r="X58" s="698"/>
      <c r="Y58" s="698"/>
      <c r="Z58" s="698"/>
      <c r="AA58" s="698"/>
      <c r="AB58" s="698"/>
      <c r="AC58" s="698"/>
      <c r="AD58" s="698"/>
      <c r="AE58" s="698"/>
      <c r="AF58" s="698"/>
      <c r="AG58" s="698"/>
      <c r="AH58" s="698"/>
      <c r="AI58" s="698"/>
      <c r="AJ58" s="698"/>
      <c r="AK58" s="698"/>
      <c r="AL58" s="698"/>
      <c r="AM58" s="698"/>
      <c r="AN58" s="698"/>
      <c r="AO58" s="698"/>
      <c r="AP58" s="698"/>
      <c r="AQ58" s="698">
        <v>0</v>
      </c>
      <c r="AR58" s="698">
        <v>0</v>
      </c>
      <c r="AS58" s="698">
        <v>0</v>
      </c>
      <c r="AT58" s="699">
        <v>0</v>
      </c>
      <c r="AU58" s="699">
        <v>0</v>
      </c>
      <c r="AV58" s="699">
        <v>0</v>
      </c>
    </row>
    <row r="59" spans="2:48" s="699" customFormat="1" x14ac:dyDescent="0.25">
      <c r="B59" s="693" t="s">
        <v>234</v>
      </c>
      <c r="C59" s="693" t="s">
        <v>1770</v>
      </c>
      <c r="D59" s="694" t="s">
        <v>1773</v>
      </c>
      <c r="E59" s="695" t="s">
        <v>1641</v>
      </c>
      <c r="F59" s="695" t="s">
        <v>1642</v>
      </c>
      <c r="G59" s="695" t="s">
        <v>144</v>
      </c>
      <c r="H59" s="695" t="s">
        <v>1494</v>
      </c>
      <c r="I59" s="695" t="s">
        <v>229</v>
      </c>
      <c r="J59" s="695" t="s">
        <v>155</v>
      </c>
      <c r="K59" s="695" t="s">
        <v>1495</v>
      </c>
      <c r="L59" s="695" t="s">
        <v>1496</v>
      </c>
      <c r="M59" s="695" t="s">
        <v>1497</v>
      </c>
      <c r="N59" s="695"/>
      <c r="O59" s="695" t="s">
        <v>136</v>
      </c>
      <c r="P59" s="693" t="s">
        <v>1774</v>
      </c>
      <c r="Q59" s="693"/>
      <c r="R59" s="700">
        <v>-50065991</v>
      </c>
      <c r="S59" s="697">
        <v>-117569131</v>
      </c>
      <c r="T59" s="697">
        <v>-75196272.801194102</v>
      </c>
      <c r="U59" s="697">
        <v>-81287170.898090795</v>
      </c>
      <c r="V59" s="697">
        <v>-85530361.218971193</v>
      </c>
      <c r="W59" s="698"/>
      <c r="X59" s="698"/>
      <c r="Y59" s="698"/>
      <c r="Z59" s="698"/>
      <c r="AA59" s="698"/>
      <c r="AB59" s="698"/>
      <c r="AC59" s="698"/>
      <c r="AD59" s="698"/>
      <c r="AE59" s="698"/>
      <c r="AF59" s="698"/>
      <c r="AG59" s="698"/>
      <c r="AH59" s="698"/>
      <c r="AI59" s="698"/>
      <c r="AJ59" s="698"/>
      <c r="AK59" s="698"/>
      <c r="AL59" s="698"/>
      <c r="AM59" s="698"/>
      <c r="AN59" s="698"/>
      <c r="AO59" s="698"/>
      <c r="AP59" s="698"/>
      <c r="AQ59" s="698">
        <v>0</v>
      </c>
      <c r="AR59" s="698">
        <v>0</v>
      </c>
      <c r="AS59" s="698">
        <v>0</v>
      </c>
      <c r="AT59" s="699">
        <v>0</v>
      </c>
      <c r="AU59" s="699">
        <v>0</v>
      </c>
      <c r="AV59" s="699">
        <v>0</v>
      </c>
    </row>
    <row r="60" spans="2:48" s="699" customFormat="1" x14ac:dyDescent="0.25">
      <c r="B60" s="693" t="s">
        <v>234</v>
      </c>
      <c r="C60" s="693" t="s">
        <v>1770</v>
      </c>
      <c r="D60" s="694" t="s">
        <v>1775</v>
      </c>
      <c r="E60" s="695" t="s">
        <v>1641</v>
      </c>
      <c r="F60" s="695" t="s">
        <v>1642</v>
      </c>
      <c r="G60" s="695" t="s">
        <v>144</v>
      </c>
      <c r="H60" s="695" t="s">
        <v>1494</v>
      </c>
      <c r="I60" s="695" t="s">
        <v>229</v>
      </c>
      <c r="J60" s="695" t="s">
        <v>145</v>
      </c>
      <c r="K60" s="695" t="s">
        <v>1495</v>
      </c>
      <c r="L60" s="695" t="s">
        <v>1496</v>
      </c>
      <c r="M60" s="695" t="s">
        <v>1497</v>
      </c>
      <c r="N60" s="695"/>
      <c r="O60" s="695" t="s">
        <v>136</v>
      </c>
      <c r="P60" s="693" t="s">
        <v>1512</v>
      </c>
      <c r="Q60" s="693"/>
      <c r="R60" s="700">
        <v>1800391</v>
      </c>
      <c r="S60" s="697">
        <v>-21830038</v>
      </c>
      <c r="T60" s="697">
        <v>-20076467.4579193</v>
      </c>
      <c r="U60" s="697">
        <v>-21702661.3220107</v>
      </c>
      <c r="V60" s="697">
        <v>-22835540.2430197</v>
      </c>
      <c r="W60" s="698"/>
      <c r="X60" s="698"/>
      <c r="Y60" s="698"/>
      <c r="Z60" s="698"/>
      <c r="AA60" s="698"/>
      <c r="AB60" s="698"/>
      <c r="AC60" s="698"/>
      <c r="AD60" s="698"/>
      <c r="AE60" s="698"/>
      <c r="AF60" s="698"/>
      <c r="AG60" s="698"/>
      <c r="AH60" s="698"/>
      <c r="AI60" s="698"/>
      <c r="AJ60" s="698"/>
      <c r="AK60" s="698"/>
      <c r="AL60" s="698"/>
      <c r="AM60" s="698"/>
      <c r="AN60" s="698"/>
      <c r="AO60" s="698"/>
      <c r="AP60" s="698"/>
      <c r="AQ60" s="698">
        <v>0</v>
      </c>
      <c r="AR60" s="698">
        <v>0</v>
      </c>
      <c r="AS60" s="698">
        <v>0</v>
      </c>
      <c r="AT60" s="699">
        <v>0</v>
      </c>
      <c r="AU60" s="699">
        <v>0</v>
      </c>
      <c r="AV60" s="699">
        <v>0</v>
      </c>
    </row>
    <row r="61" spans="2:48" s="699" customFormat="1" x14ac:dyDescent="0.25">
      <c r="B61" s="693" t="s">
        <v>234</v>
      </c>
      <c r="C61" s="693" t="s">
        <v>1770</v>
      </c>
      <c r="D61" s="694" t="s">
        <v>1776</v>
      </c>
      <c r="E61" s="695" t="s">
        <v>1641</v>
      </c>
      <c r="F61" s="695" t="s">
        <v>1642</v>
      </c>
      <c r="G61" s="695" t="s">
        <v>144</v>
      </c>
      <c r="H61" s="695" t="s">
        <v>1494</v>
      </c>
      <c r="I61" s="695" t="s">
        <v>229</v>
      </c>
      <c r="J61" s="695" t="s">
        <v>146</v>
      </c>
      <c r="K61" s="695" t="s">
        <v>1495</v>
      </c>
      <c r="L61" s="695" t="s">
        <v>1496</v>
      </c>
      <c r="M61" s="695" t="s">
        <v>1497</v>
      </c>
      <c r="N61" s="695"/>
      <c r="O61" s="695" t="s">
        <v>136</v>
      </c>
      <c r="P61" s="693" t="s">
        <v>1777</v>
      </c>
      <c r="Q61" s="693"/>
      <c r="R61" s="700">
        <v>2475526</v>
      </c>
      <c r="S61" s="697">
        <v>-26179709</v>
      </c>
      <c r="T61" s="697">
        <v>-25416152.763165701</v>
      </c>
      <c r="U61" s="697">
        <v>-27474861.136982098</v>
      </c>
      <c r="V61" s="697">
        <v>-28909048.888332602</v>
      </c>
      <c r="W61" s="698"/>
      <c r="X61" s="698"/>
      <c r="Y61" s="698"/>
      <c r="Z61" s="698"/>
      <c r="AA61" s="698"/>
      <c r="AB61" s="698"/>
      <c r="AC61" s="698"/>
      <c r="AD61" s="698"/>
      <c r="AE61" s="698"/>
      <c r="AF61" s="698"/>
      <c r="AG61" s="698"/>
      <c r="AH61" s="698"/>
      <c r="AI61" s="698"/>
      <c r="AJ61" s="698"/>
      <c r="AK61" s="698"/>
      <c r="AL61" s="698"/>
      <c r="AM61" s="698"/>
      <c r="AN61" s="698"/>
      <c r="AO61" s="698"/>
      <c r="AP61" s="698"/>
      <c r="AQ61" s="698">
        <v>0</v>
      </c>
      <c r="AR61" s="698">
        <v>0</v>
      </c>
      <c r="AS61" s="698">
        <v>0</v>
      </c>
      <c r="AT61" s="699">
        <v>0</v>
      </c>
      <c r="AU61" s="699">
        <v>0</v>
      </c>
      <c r="AV61" s="699">
        <v>0</v>
      </c>
    </row>
    <row r="62" spans="2:48" s="699" customFormat="1" x14ac:dyDescent="0.25">
      <c r="B62" s="693" t="s">
        <v>234</v>
      </c>
      <c r="C62" s="693" t="s">
        <v>1770</v>
      </c>
      <c r="D62" s="694" t="s">
        <v>1778</v>
      </c>
      <c r="E62" s="695" t="s">
        <v>1641</v>
      </c>
      <c r="F62" s="695" t="s">
        <v>1642</v>
      </c>
      <c r="G62" s="695" t="s">
        <v>144</v>
      </c>
      <c r="H62" s="695" t="s">
        <v>1494</v>
      </c>
      <c r="I62" s="695" t="s">
        <v>229</v>
      </c>
      <c r="J62" s="695" t="s">
        <v>147</v>
      </c>
      <c r="K62" s="695" t="s">
        <v>1495</v>
      </c>
      <c r="L62" s="695" t="s">
        <v>1496</v>
      </c>
      <c r="M62" s="695" t="s">
        <v>1497</v>
      </c>
      <c r="N62" s="695"/>
      <c r="O62" s="695" t="s">
        <v>136</v>
      </c>
      <c r="P62" s="693" t="s">
        <v>1779</v>
      </c>
      <c r="Q62" s="693"/>
      <c r="R62" s="700">
        <v>-51421</v>
      </c>
      <c r="S62" s="697">
        <v>-22591460</v>
      </c>
      <c r="T62" s="697">
        <v>-19526858.039235801</v>
      </c>
      <c r="U62" s="697">
        <v>-21108533.540413901</v>
      </c>
      <c r="V62" s="697">
        <v>-22210398.991223499</v>
      </c>
      <c r="W62" s="698"/>
      <c r="X62" s="698"/>
      <c r="Y62" s="698"/>
      <c r="Z62" s="698"/>
      <c r="AA62" s="698"/>
      <c r="AB62" s="698"/>
      <c r="AC62" s="698"/>
      <c r="AD62" s="698"/>
      <c r="AE62" s="698"/>
      <c r="AF62" s="698"/>
      <c r="AG62" s="698"/>
      <c r="AH62" s="698"/>
      <c r="AI62" s="698"/>
      <c r="AJ62" s="698"/>
      <c r="AK62" s="698"/>
      <c r="AL62" s="698"/>
      <c r="AM62" s="698"/>
      <c r="AN62" s="698"/>
      <c r="AO62" s="698"/>
      <c r="AP62" s="698"/>
      <c r="AQ62" s="698">
        <v>0</v>
      </c>
      <c r="AR62" s="698">
        <v>0</v>
      </c>
      <c r="AS62" s="698">
        <v>0</v>
      </c>
      <c r="AT62" s="699">
        <v>0</v>
      </c>
      <c r="AU62" s="699">
        <v>0</v>
      </c>
      <c r="AV62" s="699">
        <v>0</v>
      </c>
    </row>
    <row r="63" spans="2:48" s="699" customFormat="1" x14ac:dyDescent="0.25">
      <c r="B63" s="693" t="s">
        <v>234</v>
      </c>
      <c r="C63" s="693" t="s">
        <v>1770</v>
      </c>
      <c r="D63" s="694" t="s">
        <v>1780</v>
      </c>
      <c r="E63" s="695" t="s">
        <v>1641</v>
      </c>
      <c r="F63" s="695" t="s">
        <v>1642</v>
      </c>
      <c r="G63" s="695" t="s">
        <v>144</v>
      </c>
      <c r="H63" s="695" t="s">
        <v>1494</v>
      </c>
      <c r="I63" s="695" t="s">
        <v>229</v>
      </c>
      <c r="J63" s="695" t="s">
        <v>148</v>
      </c>
      <c r="K63" s="695" t="s">
        <v>1495</v>
      </c>
      <c r="L63" s="695" t="s">
        <v>1496</v>
      </c>
      <c r="M63" s="695" t="s">
        <v>1497</v>
      </c>
      <c r="N63" s="695"/>
      <c r="O63" s="695" t="s">
        <v>136</v>
      </c>
      <c r="P63" s="693" t="s">
        <v>1781</v>
      </c>
      <c r="Q63" s="693"/>
      <c r="R63" s="700">
        <v>-1353708</v>
      </c>
      <c r="S63" s="697">
        <v>-32454020</v>
      </c>
      <c r="T63" s="697">
        <v>-34535980.747440301</v>
      </c>
      <c r="U63" s="697">
        <v>-37333395.187982999</v>
      </c>
      <c r="V63" s="697">
        <v>-39282198.416795701</v>
      </c>
      <c r="W63" s="698"/>
      <c r="X63" s="698"/>
      <c r="Y63" s="698"/>
      <c r="Z63" s="698"/>
      <c r="AA63" s="698"/>
      <c r="AB63" s="698"/>
      <c r="AC63" s="698"/>
      <c r="AD63" s="698"/>
      <c r="AE63" s="698"/>
      <c r="AF63" s="698"/>
      <c r="AG63" s="698"/>
      <c r="AH63" s="698"/>
      <c r="AI63" s="698"/>
      <c r="AJ63" s="698"/>
      <c r="AK63" s="698"/>
      <c r="AL63" s="698"/>
      <c r="AM63" s="698"/>
      <c r="AN63" s="698"/>
      <c r="AO63" s="698"/>
      <c r="AP63" s="698"/>
      <c r="AQ63" s="698">
        <v>0</v>
      </c>
      <c r="AR63" s="698">
        <v>0</v>
      </c>
      <c r="AS63" s="698">
        <v>0</v>
      </c>
      <c r="AT63" s="699">
        <v>0</v>
      </c>
      <c r="AU63" s="699">
        <v>0</v>
      </c>
      <c r="AV63" s="699">
        <v>0</v>
      </c>
    </row>
    <row r="64" spans="2:48" s="699" customFormat="1" x14ac:dyDescent="0.25">
      <c r="B64" s="693" t="s">
        <v>234</v>
      </c>
      <c r="C64" s="693" t="s">
        <v>1770</v>
      </c>
      <c r="D64" s="694" t="s">
        <v>1782</v>
      </c>
      <c r="E64" s="695" t="s">
        <v>1641</v>
      </c>
      <c r="F64" s="695" t="s">
        <v>1642</v>
      </c>
      <c r="G64" s="695" t="s">
        <v>144</v>
      </c>
      <c r="H64" s="695" t="s">
        <v>1494</v>
      </c>
      <c r="I64" s="695" t="s">
        <v>229</v>
      </c>
      <c r="J64" s="695" t="s">
        <v>149</v>
      </c>
      <c r="K64" s="695" t="s">
        <v>1495</v>
      </c>
      <c r="L64" s="695" t="s">
        <v>1496</v>
      </c>
      <c r="M64" s="695" t="s">
        <v>1497</v>
      </c>
      <c r="N64" s="695"/>
      <c r="O64" s="695" t="s">
        <v>136</v>
      </c>
      <c r="P64" s="693" t="s">
        <v>1783</v>
      </c>
      <c r="Q64" s="693"/>
      <c r="R64" s="696">
        <v>-4477304</v>
      </c>
      <c r="S64" s="697">
        <v>-56971504</v>
      </c>
      <c r="T64" s="697">
        <v>-56200955.678428397</v>
      </c>
      <c r="U64" s="697">
        <v>-60753233.088381097</v>
      </c>
      <c r="V64" s="697">
        <v>-63924551.855594598</v>
      </c>
      <c r="W64" s="698"/>
      <c r="X64" s="698"/>
      <c r="Y64" s="698"/>
      <c r="Z64" s="698"/>
      <c r="AA64" s="698"/>
      <c r="AB64" s="698"/>
      <c r="AC64" s="698"/>
      <c r="AD64" s="698"/>
      <c r="AE64" s="698"/>
      <c r="AF64" s="698"/>
      <c r="AG64" s="698"/>
      <c r="AH64" s="698"/>
      <c r="AI64" s="698"/>
      <c r="AJ64" s="698"/>
      <c r="AK64" s="698"/>
      <c r="AL64" s="698"/>
      <c r="AM64" s="698"/>
      <c r="AN64" s="698"/>
      <c r="AO64" s="698"/>
      <c r="AP64" s="698"/>
      <c r="AQ64" s="698">
        <v>0</v>
      </c>
      <c r="AR64" s="698">
        <v>0</v>
      </c>
      <c r="AS64" s="698">
        <v>0</v>
      </c>
      <c r="AT64" s="699">
        <v>0</v>
      </c>
      <c r="AU64" s="699">
        <v>0</v>
      </c>
      <c r="AV64" s="699">
        <v>0</v>
      </c>
    </row>
    <row r="65" spans="2:48" s="699" customFormat="1" x14ac:dyDescent="0.25">
      <c r="B65" s="693" t="s">
        <v>234</v>
      </c>
      <c r="C65" s="693" t="s">
        <v>1770</v>
      </c>
      <c r="D65" s="694" t="s">
        <v>1784</v>
      </c>
      <c r="E65" s="695" t="s">
        <v>1641</v>
      </c>
      <c r="F65" s="695" t="s">
        <v>1642</v>
      </c>
      <c r="G65" s="695" t="s">
        <v>144</v>
      </c>
      <c r="H65" s="695" t="s">
        <v>1494</v>
      </c>
      <c r="I65" s="695" t="s">
        <v>229</v>
      </c>
      <c r="J65" s="695" t="s">
        <v>150</v>
      </c>
      <c r="K65" s="695" t="s">
        <v>1495</v>
      </c>
      <c r="L65" s="695" t="s">
        <v>1496</v>
      </c>
      <c r="M65" s="695" t="s">
        <v>1497</v>
      </c>
      <c r="N65" s="695"/>
      <c r="O65" s="695" t="s">
        <v>136</v>
      </c>
      <c r="P65" s="693" t="s">
        <v>1785</v>
      </c>
      <c r="Q65" s="693"/>
      <c r="R65" s="696">
        <v>-8143537</v>
      </c>
      <c r="S65" s="697">
        <v>-49001305</v>
      </c>
      <c r="T65" s="697">
        <v>-44380357.555518702</v>
      </c>
      <c r="U65" s="697">
        <v>-47975166.517515697</v>
      </c>
      <c r="V65" s="697">
        <v>-50479470.209730104</v>
      </c>
      <c r="W65" s="698"/>
      <c r="X65" s="698"/>
      <c r="Y65" s="698"/>
      <c r="Z65" s="698"/>
      <c r="AA65" s="698"/>
      <c r="AB65" s="698"/>
      <c r="AC65" s="698"/>
      <c r="AD65" s="698"/>
      <c r="AE65" s="698"/>
      <c r="AF65" s="698"/>
      <c r="AG65" s="698"/>
      <c r="AH65" s="698"/>
      <c r="AI65" s="698"/>
      <c r="AJ65" s="698"/>
      <c r="AK65" s="698"/>
      <c r="AL65" s="698"/>
      <c r="AM65" s="698"/>
      <c r="AN65" s="698"/>
      <c r="AO65" s="698"/>
      <c r="AP65" s="698"/>
      <c r="AQ65" s="698">
        <v>0</v>
      </c>
      <c r="AR65" s="698">
        <v>0</v>
      </c>
      <c r="AS65" s="698">
        <v>0</v>
      </c>
      <c r="AT65" s="699">
        <v>0</v>
      </c>
      <c r="AU65" s="699">
        <v>0</v>
      </c>
      <c r="AV65" s="699">
        <v>0</v>
      </c>
    </row>
    <row r="66" spans="2:48" s="699" customFormat="1" x14ac:dyDescent="0.25">
      <c r="B66" s="693" t="s">
        <v>234</v>
      </c>
      <c r="C66" s="693" t="s">
        <v>1786</v>
      </c>
      <c r="D66" s="694" t="s">
        <v>1787</v>
      </c>
      <c r="E66" s="695" t="s">
        <v>1641</v>
      </c>
      <c r="F66" s="695" t="s">
        <v>1642</v>
      </c>
      <c r="G66" s="695" t="s">
        <v>144</v>
      </c>
      <c r="H66" s="695" t="s">
        <v>1494</v>
      </c>
      <c r="I66" s="695" t="s">
        <v>230</v>
      </c>
      <c r="J66" s="695" t="s">
        <v>144</v>
      </c>
      <c r="K66" s="695" t="s">
        <v>1495</v>
      </c>
      <c r="L66" s="695" t="s">
        <v>1496</v>
      </c>
      <c r="M66" s="695" t="s">
        <v>1497</v>
      </c>
      <c r="N66" s="695"/>
      <c r="O66" s="695" t="s">
        <v>136</v>
      </c>
      <c r="P66" s="693" t="s">
        <v>1788</v>
      </c>
      <c r="Q66" s="693"/>
      <c r="R66" s="696">
        <v>-4286663</v>
      </c>
      <c r="S66" s="697">
        <v>-17851880</v>
      </c>
      <c r="T66" s="697">
        <v>-19746586.369440001</v>
      </c>
      <c r="U66" s="697">
        <v>-21346059.8653646</v>
      </c>
      <c r="V66" s="697">
        <v>-22460324.190336701</v>
      </c>
      <c r="W66" s="698"/>
      <c r="X66" s="698"/>
      <c r="Y66" s="698"/>
      <c r="Z66" s="698"/>
      <c r="AA66" s="698"/>
      <c r="AB66" s="698"/>
      <c r="AC66" s="698"/>
      <c r="AD66" s="698"/>
      <c r="AE66" s="698"/>
      <c r="AF66" s="698"/>
      <c r="AG66" s="698"/>
      <c r="AH66" s="698"/>
      <c r="AI66" s="698"/>
      <c r="AJ66" s="698"/>
      <c r="AK66" s="698"/>
      <c r="AL66" s="698"/>
      <c r="AM66" s="698"/>
      <c r="AN66" s="698"/>
      <c r="AO66" s="698"/>
      <c r="AP66" s="698"/>
      <c r="AQ66" s="698">
        <v>0</v>
      </c>
      <c r="AR66" s="698">
        <v>0</v>
      </c>
      <c r="AS66" s="698">
        <v>0</v>
      </c>
      <c r="AT66" s="699">
        <v>0</v>
      </c>
      <c r="AU66" s="699">
        <v>0</v>
      </c>
      <c r="AV66" s="699">
        <v>0</v>
      </c>
    </row>
    <row r="67" spans="2:48" s="699" customFormat="1" x14ac:dyDescent="0.25">
      <c r="B67" s="693" t="s">
        <v>234</v>
      </c>
      <c r="C67" s="693" t="s">
        <v>1786</v>
      </c>
      <c r="D67" s="694" t="s">
        <v>1789</v>
      </c>
      <c r="E67" s="695" t="s">
        <v>1641</v>
      </c>
      <c r="F67" s="695" t="s">
        <v>1642</v>
      </c>
      <c r="G67" s="695" t="s">
        <v>144</v>
      </c>
      <c r="H67" s="695" t="s">
        <v>1494</v>
      </c>
      <c r="I67" s="695" t="s">
        <v>230</v>
      </c>
      <c r="J67" s="695" t="s">
        <v>155</v>
      </c>
      <c r="K67" s="695" t="s">
        <v>1495</v>
      </c>
      <c r="L67" s="695" t="s">
        <v>1496</v>
      </c>
      <c r="M67" s="695" t="s">
        <v>1497</v>
      </c>
      <c r="N67" s="695"/>
      <c r="O67" s="695" t="s">
        <v>136</v>
      </c>
      <c r="P67" s="693" t="s">
        <v>1790</v>
      </c>
      <c r="Q67" s="693"/>
      <c r="R67" s="700">
        <v>-11862026</v>
      </c>
      <c r="S67" s="697">
        <v>-40563260</v>
      </c>
      <c r="T67" s="697">
        <v>-45589056.523806602</v>
      </c>
      <c r="U67" s="697">
        <v>-49281770.1022349</v>
      </c>
      <c r="V67" s="697">
        <v>-51854278.501571603</v>
      </c>
      <c r="W67" s="698"/>
      <c r="X67" s="698"/>
      <c r="Y67" s="698"/>
      <c r="Z67" s="698"/>
      <c r="AA67" s="698"/>
      <c r="AB67" s="698"/>
      <c r="AC67" s="698"/>
      <c r="AD67" s="698"/>
      <c r="AE67" s="698"/>
      <c r="AF67" s="698"/>
      <c r="AG67" s="698"/>
      <c r="AH67" s="698"/>
      <c r="AI67" s="698"/>
      <c r="AJ67" s="698"/>
      <c r="AK67" s="698"/>
      <c r="AL67" s="698"/>
      <c r="AM67" s="698"/>
      <c r="AN67" s="698"/>
      <c r="AO67" s="698"/>
      <c r="AP67" s="698"/>
      <c r="AQ67" s="698">
        <v>0</v>
      </c>
      <c r="AR67" s="698">
        <v>0</v>
      </c>
      <c r="AS67" s="698">
        <v>0</v>
      </c>
      <c r="AT67" s="699">
        <v>0</v>
      </c>
      <c r="AU67" s="699">
        <v>0</v>
      </c>
      <c r="AV67" s="699">
        <v>0</v>
      </c>
    </row>
    <row r="68" spans="2:48" s="699" customFormat="1" x14ac:dyDescent="0.25">
      <c r="B68" s="693" t="s">
        <v>234</v>
      </c>
      <c r="C68" s="693" t="s">
        <v>1786</v>
      </c>
      <c r="D68" s="694" t="s">
        <v>1791</v>
      </c>
      <c r="E68" s="695" t="s">
        <v>1641</v>
      </c>
      <c r="F68" s="695" t="s">
        <v>1642</v>
      </c>
      <c r="G68" s="695" t="s">
        <v>144</v>
      </c>
      <c r="H68" s="695" t="s">
        <v>1494</v>
      </c>
      <c r="I68" s="695" t="s">
        <v>230</v>
      </c>
      <c r="J68" s="695" t="s">
        <v>145</v>
      </c>
      <c r="K68" s="695" t="s">
        <v>1495</v>
      </c>
      <c r="L68" s="695" t="s">
        <v>1496</v>
      </c>
      <c r="M68" s="695" t="s">
        <v>1497</v>
      </c>
      <c r="N68" s="695"/>
      <c r="O68" s="695" t="s">
        <v>136</v>
      </c>
      <c r="P68" s="693" t="s">
        <v>1513</v>
      </c>
      <c r="Q68" s="693"/>
      <c r="R68" s="700">
        <v>-5310159</v>
      </c>
      <c r="S68" s="697">
        <v>-19364313</v>
      </c>
      <c r="T68" s="697">
        <v>-19229588.7080709</v>
      </c>
      <c r="U68" s="697">
        <v>-20787185.3934246</v>
      </c>
      <c r="V68" s="697">
        <v>-21872276.470961399</v>
      </c>
      <c r="W68" s="698"/>
      <c r="X68" s="698"/>
      <c r="Y68" s="698"/>
      <c r="Z68" s="698"/>
      <c r="AA68" s="698"/>
      <c r="AB68" s="698"/>
      <c r="AC68" s="698"/>
      <c r="AD68" s="698"/>
      <c r="AE68" s="698"/>
      <c r="AF68" s="698"/>
      <c r="AG68" s="698"/>
      <c r="AH68" s="698"/>
      <c r="AI68" s="698"/>
      <c r="AJ68" s="698"/>
      <c r="AK68" s="698"/>
      <c r="AL68" s="698"/>
      <c r="AM68" s="698"/>
      <c r="AN68" s="698"/>
      <c r="AO68" s="698"/>
      <c r="AP68" s="698"/>
      <c r="AQ68" s="698">
        <v>0</v>
      </c>
      <c r="AR68" s="698">
        <v>0</v>
      </c>
      <c r="AS68" s="698">
        <v>0</v>
      </c>
      <c r="AT68" s="699">
        <v>0</v>
      </c>
      <c r="AU68" s="699">
        <v>0</v>
      </c>
      <c r="AV68" s="699">
        <v>0</v>
      </c>
    </row>
    <row r="69" spans="2:48" s="699" customFormat="1" x14ac:dyDescent="0.25">
      <c r="B69" s="693" t="s">
        <v>234</v>
      </c>
      <c r="C69" s="693" t="s">
        <v>1786</v>
      </c>
      <c r="D69" s="694" t="s">
        <v>1792</v>
      </c>
      <c r="E69" s="695" t="s">
        <v>1641</v>
      </c>
      <c r="F69" s="695" t="s">
        <v>1642</v>
      </c>
      <c r="G69" s="695" t="s">
        <v>144</v>
      </c>
      <c r="H69" s="695" t="s">
        <v>1494</v>
      </c>
      <c r="I69" s="695" t="s">
        <v>230</v>
      </c>
      <c r="J69" s="695" t="s">
        <v>146</v>
      </c>
      <c r="K69" s="695" t="s">
        <v>1495</v>
      </c>
      <c r="L69" s="695" t="s">
        <v>1496</v>
      </c>
      <c r="M69" s="695" t="s">
        <v>1497</v>
      </c>
      <c r="N69" s="695"/>
      <c r="O69" s="695" t="s">
        <v>136</v>
      </c>
      <c r="P69" s="693" t="s">
        <v>1793</v>
      </c>
      <c r="Q69" s="693"/>
      <c r="R69" s="700">
        <v>-5019548</v>
      </c>
      <c r="S69" s="697">
        <v>-21863455</v>
      </c>
      <c r="T69" s="697">
        <v>-22821694.0738024</v>
      </c>
      <c r="U69" s="697">
        <v>-24670251.293780401</v>
      </c>
      <c r="V69" s="697">
        <v>-25958038.411315698</v>
      </c>
      <c r="W69" s="698"/>
      <c r="X69" s="698"/>
      <c r="Y69" s="698"/>
      <c r="Z69" s="698"/>
      <c r="AA69" s="698"/>
      <c r="AB69" s="698"/>
      <c r="AC69" s="698"/>
      <c r="AD69" s="698"/>
      <c r="AE69" s="698"/>
      <c r="AF69" s="698"/>
      <c r="AG69" s="698"/>
      <c r="AH69" s="698"/>
      <c r="AI69" s="698"/>
      <c r="AJ69" s="698"/>
      <c r="AK69" s="698"/>
      <c r="AL69" s="698"/>
      <c r="AM69" s="698"/>
      <c r="AN69" s="698"/>
      <c r="AO69" s="698"/>
      <c r="AP69" s="698"/>
      <c r="AQ69" s="698">
        <v>0</v>
      </c>
      <c r="AR69" s="698">
        <v>0</v>
      </c>
      <c r="AS69" s="698">
        <v>0</v>
      </c>
      <c r="AT69" s="699">
        <v>0</v>
      </c>
      <c r="AU69" s="699">
        <v>0</v>
      </c>
      <c r="AV69" s="699">
        <v>0</v>
      </c>
    </row>
    <row r="70" spans="2:48" s="699" customFormat="1" x14ac:dyDescent="0.25">
      <c r="B70" s="693" t="s">
        <v>234</v>
      </c>
      <c r="C70" s="693" t="s">
        <v>1786</v>
      </c>
      <c r="D70" s="694" t="s">
        <v>1794</v>
      </c>
      <c r="E70" s="695" t="s">
        <v>1641</v>
      </c>
      <c r="F70" s="695" t="s">
        <v>1642</v>
      </c>
      <c r="G70" s="695" t="s">
        <v>144</v>
      </c>
      <c r="H70" s="695" t="s">
        <v>1494</v>
      </c>
      <c r="I70" s="695" t="s">
        <v>230</v>
      </c>
      <c r="J70" s="695" t="s">
        <v>147</v>
      </c>
      <c r="K70" s="695" t="s">
        <v>1495</v>
      </c>
      <c r="L70" s="695" t="s">
        <v>1496</v>
      </c>
      <c r="M70" s="695" t="s">
        <v>1497</v>
      </c>
      <c r="N70" s="695"/>
      <c r="O70" s="695" t="s">
        <v>136</v>
      </c>
      <c r="P70" s="693" t="s">
        <v>1795</v>
      </c>
      <c r="Q70" s="693"/>
      <c r="R70" s="700">
        <v>-3588202</v>
      </c>
      <c r="S70" s="697">
        <v>-19364574</v>
      </c>
      <c r="T70" s="697">
        <v>-19062104.465121999</v>
      </c>
      <c r="U70" s="697">
        <v>-20606134.926796898</v>
      </c>
      <c r="V70" s="697">
        <v>-21681775.169975702</v>
      </c>
      <c r="W70" s="698"/>
      <c r="X70" s="698"/>
      <c r="Y70" s="698"/>
      <c r="Z70" s="698"/>
      <c r="AA70" s="698"/>
      <c r="AB70" s="698"/>
      <c r="AC70" s="698"/>
      <c r="AD70" s="698"/>
      <c r="AE70" s="698"/>
      <c r="AF70" s="698"/>
      <c r="AG70" s="698"/>
      <c r="AH70" s="698"/>
      <c r="AI70" s="698"/>
      <c r="AJ70" s="698"/>
      <c r="AK70" s="698"/>
      <c r="AL70" s="698"/>
      <c r="AM70" s="698"/>
      <c r="AN70" s="698"/>
      <c r="AO70" s="698"/>
      <c r="AP70" s="698"/>
      <c r="AQ70" s="698">
        <v>0</v>
      </c>
      <c r="AR70" s="698">
        <v>0</v>
      </c>
      <c r="AS70" s="698">
        <v>0</v>
      </c>
      <c r="AT70" s="699">
        <v>0</v>
      </c>
      <c r="AU70" s="699">
        <v>0</v>
      </c>
      <c r="AV70" s="699">
        <v>0</v>
      </c>
    </row>
    <row r="71" spans="2:48" s="699" customFormat="1" x14ac:dyDescent="0.25">
      <c r="B71" s="693" t="s">
        <v>234</v>
      </c>
      <c r="C71" s="693" t="s">
        <v>1786</v>
      </c>
      <c r="D71" s="694" t="s">
        <v>1796</v>
      </c>
      <c r="E71" s="695" t="s">
        <v>1641</v>
      </c>
      <c r="F71" s="695" t="s">
        <v>1642</v>
      </c>
      <c r="G71" s="695" t="s">
        <v>144</v>
      </c>
      <c r="H71" s="695" t="s">
        <v>1494</v>
      </c>
      <c r="I71" s="695" t="s">
        <v>230</v>
      </c>
      <c r="J71" s="695" t="s">
        <v>148</v>
      </c>
      <c r="K71" s="695" t="s">
        <v>1495</v>
      </c>
      <c r="L71" s="695" t="s">
        <v>1496</v>
      </c>
      <c r="M71" s="695" t="s">
        <v>1497</v>
      </c>
      <c r="N71" s="695"/>
      <c r="O71" s="695" t="s">
        <v>136</v>
      </c>
      <c r="P71" s="693" t="s">
        <v>1514</v>
      </c>
      <c r="Q71" s="693"/>
      <c r="R71" s="700">
        <v>-7154008</v>
      </c>
      <c r="S71" s="697">
        <v>-22817774</v>
      </c>
      <c r="T71" s="697">
        <v>-28090897.189784199</v>
      </c>
      <c r="U71" s="697">
        <v>-30366259.8621567</v>
      </c>
      <c r="V71" s="697">
        <v>-31951378.626961298</v>
      </c>
      <c r="W71" s="698"/>
      <c r="X71" s="698"/>
      <c r="Y71" s="698"/>
      <c r="Z71" s="698"/>
      <c r="AA71" s="698"/>
      <c r="AB71" s="698"/>
      <c r="AC71" s="698"/>
      <c r="AD71" s="698"/>
      <c r="AE71" s="698"/>
      <c r="AF71" s="698"/>
      <c r="AG71" s="698"/>
      <c r="AH71" s="698"/>
      <c r="AI71" s="698"/>
      <c r="AJ71" s="698"/>
      <c r="AK71" s="698"/>
      <c r="AL71" s="698"/>
      <c r="AM71" s="698"/>
      <c r="AN71" s="698"/>
      <c r="AO71" s="698"/>
      <c r="AP71" s="698"/>
      <c r="AQ71" s="698">
        <v>0</v>
      </c>
      <c r="AR71" s="698">
        <v>0</v>
      </c>
      <c r="AS71" s="698">
        <v>0</v>
      </c>
      <c r="AT71" s="699">
        <v>0</v>
      </c>
      <c r="AU71" s="699">
        <v>0</v>
      </c>
      <c r="AV71" s="699">
        <v>0</v>
      </c>
    </row>
    <row r="72" spans="2:48" s="699" customFormat="1" x14ac:dyDescent="0.25">
      <c r="B72" s="693" t="s">
        <v>234</v>
      </c>
      <c r="C72" s="693" t="s">
        <v>1786</v>
      </c>
      <c r="D72" s="694" t="s">
        <v>1797</v>
      </c>
      <c r="E72" s="695" t="s">
        <v>1641</v>
      </c>
      <c r="F72" s="695" t="s">
        <v>553</v>
      </c>
      <c r="G72" s="695" t="s">
        <v>144</v>
      </c>
      <c r="H72" s="695" t="s">
        <v>1494</v>
      </c>
      <c r="I72" s="695" t="s">
        <v>230</v>
      </c>
      <c r="J72" s="695" t="s">
        <v>149</v>
      </c>
      <c r="K72" s="695" t="s">
        <v>1495</v>
      </c>
      <c r="L72" s="695" t="s">
        <v>1496</v>
      </c>
      <c r="M72" s="695" t="s">
        <v>1497</v>
      </c>
      <c r="N72" s="695"/>
      <c r="O72" s="695" t="s">
        <v>136</v>
      </c>
      <c r="P72" s="693" t="s">
        <v>1798</v>
      </c>
      <c r="Q72" s="693"/>
      <c r="R72" s="700">
        <v>-22639295</v>
      </c>
      <c r="S72" s="697">
        <v>-47595646</v>
      </c>
      <c r="T72" s="697">
        <v>-56389883.356761903</v>
      </c>
      <c r="U72" s="697">
        <v>-60957463.9086596</v>
      </c>
      <c r="V72" s="697">
        <v>-64139443.524691701</v>
      </c>
      <c r="W72" s="698"/>
      <c r="X72" s="698"/>
      <c r="Y72" s="698"/>
      <c r="Z72" s="698"/>
      <c r="AA72" s="698"/>
      <c r="AB72" s="698"/>
      <c r="AC72" s="698"/>
      <c r="AD72" s="698"/>
      <c r="AE72" s="698"/>
      <c r="AF72" s="698"/>
      <c r="AG72" s="698"/>
      <c r="AH72" s="698"/>
      <c r="AI72" s="698"/>
      <c r="AJ72" s="698"/>
      <c r="AK72" s="698"/>
      <c r="AL72" s="698"/>
      <c r="AM72" s="698"/>
      <c r="AN72" s="698"/>
      <c r="AO72" s="698"/>
      <c r="AP72" s="698"/>
      <c r="AQ72" s="698">
        <v>0</v>
      </c>
      <c r="AR72" s="698">
        <v>0</v>
      </c>
      <c r="AS72" s="698">
        <v>0</v>
      </c>
      <c r="AT72" s="699">
        <v>0</v>
      </c>
      <c r="AU72" s="699">
        <v>0</v>
      </c>
      <c r="AV72" s="699">
        <v>0</v>
      </c>
    </row>
    <row r="73" spans="2:48" s="699" customFormat="1" x14ac:dyDescent="0.25">
      <c r="B73" s="693" t="s">
        <v>234</v>
      </c>
      <c r="C73" s="693" t="s">
        <v>1786</v>
      </c>
      <c r="D73" s="694" t="s">
        <v>1799</v>
      </c>
      <c r="E73" s="695" t="s">
        <v>1641</v>
      </c>
      <c r="F73" s="695" t="s">
        <v>1642</v>
      </c>
      <c r="G73" s="695" t="s">
        <v>144</v>
      </c>
      <c r="H73" s="695" t="s">
        <v>1494</v>
      </c>
      <c r="I73" s="695" t="s">
        <v>230</v>
      </c>
      <c r="J73" s="695" t="s">
        <v>150</v>
      </c>
      <c r="K73" s="695" t="s">
        <v>1495</v>
      </c>
      <c r="L73" s="695" t="s">
        <v>1496</v>
      </c>
      <c r="M73" s="695" t="s">
        <v>1497</v>
      </c>
      <c r="N73" s="695"/>
      <c r="O73" s="695" t="s">
        <v>136</v>
      </c>
      <c r="P73" s="693" t="s">
        <v>1800</v>
      </c>
      <c r="Q73" s="693"/>
      <c r="R73" s="700">
        <v>-8418812</v>
      </c>
      <c r="S73" s="697">
        <v>-30164804</v>
      </c>
      <c r="T73" s="697">
        <v>-37116815.281621397</v>
      </c>
      <c r="U73" s="697">
        <v>-40123277.319432698</v>
      </c>
      <c r="V73" s="697">
        <v>-42217712.395507097</v>
      </c>
      <c r="W73" s="698"/>
      <c r="X73" s="698"/>
      <c r="Y73" s="698"/>
      <c r="Z73" s="698"/>
      <c r="AA73" s="698"/>
      <c r="AB73" s="698"/>
      <c r="AC73" s="698"/>
      <c r="AD73" s="698"/>
      <c r="AE73" s="698"/>
      <c r="AF73" s="698"/>
      <c r="AG73" s="698"/>
      <c r="AH73" s="698"/>
      <c r="AI73" s="698"/>
      <c r="AJ73" s="698"/>
      <c r="AK73" s="698"/>
      <c r="AL73" s="698"/>
      <c r="AM73" s="698"/>
      <c r="AN73" s="698"/>
      <c r="AO73" s="698"/>
      <c r="AP73" s="698"/>
      <c r="AQ73" s="698">
        <v>0</v>
      </c>
      <c r="AR73" s="698">
        <v>0</v>
      </c>
      <c r="AS73" s="698">
        <v>0</v>
      </c>
      <c r="AT73" s="699">
        <v>0</v>
      </c>
      <c r="AU73" s="699">
        <v>0</v>
      </c>
      <c r="AV73" s="699">
        <v>0</v>
      </c>
    </row>
    <row r="74" spans="2:48" s="699" customFormat="1" x14ac:dyDescent="0.25">
      <c r="B74" s="693" t="s">
        <v>234</v>
      </c>
      <c r="C74" s="693" t="s">
        <v>1786</v>
      </c>
      <c r="D74" s="694" t="s">
        <v>1801</v>
      </c>
      <c r="E74" s="695" t="s">
        <v>1641</v>
      </c>
      <c r="F74" s="695" t="s">
        <v>1642</v>
      </c>
      <c r="G74" s="695" t="s">
        <v>144</v>
      </c>
      <c r="H74" s="695" t="s">
        <v>1494</v>
      </c>
      <c r="I74" s="695" t="s">
        <v>230</v>
      </c>
      <c r="J74" s="695" t="s">
        <v>151</v>
      </c>
      <c r="K74" s="695" t="s">
        <v>1495</v>
      </c>
      <c r="L74" s="695" t="s">
        <v>1496</v>
      </c>
      <c r="M74" s="695" t="s">
        <v>1497</v>
      </c>
      <c r="N74" s="695"/>
      <c r="O74" s="695" t="s">
        <v>136</v>
      </c>
      <c r="P74" s="693" t="s">
        <v>1802</v>
      </c>
      <c r="Q74" s="693"/>
      <c r="R74" s="700">
        <v>-2030878</v>
      </c>
      <c r="S74" s="697">
        <v>-69042442</v>
      </c>
      <c r="T74" s="697">
        <v>-69245795.458517805</v>
      </c>
      <c r="U74" s="697">
        <v>-74854704.890657693</v>
      </c>
      <c r="V74" s="697">
        <v>-78762120.485950097</v>
      </c>
      <c r="W74" s="698"/>
      <c r="X74" s="698"/>
      <c r="Y74" s="698"/>
      <c r="Z74" s="698"/>
      <c r="AA74" s="698"/>
      <c r="AB74" s="698"/>
      <c r="AC74" s="698"/>
      <c r="AD74" s="698"/>
      <c r="AE74" s="698"/>
      <c r="AF74" s="698"/>
      <c r="AG74" s="698"/>
      <c r="AH74" s="698"/>
      <c r="AI74" s="698"/>
      <c r="AJ74" s="698"/>
      <c r="AK74" s="698"/>
      <c r="AL74" s="698"/>
      <c r="AM74" s="698"/>
      <c r="AN74" s="698"/>
      <c r="AO74" s="698"/>
      <c r="AP74" s="698"/>
      <c r="AQ74" s="698">
        <v>0</v>
      </c>
      <c r="AR74" s="698">
        <v>0</v>
      </c>
      <c r="AS74" s="698">
        <v>0</v>
      </c>
      <c r="AT74" s="699">
        <v>0</v>
      </c>
      <c r="AU74" s="699">
        <v>0</v>
      </c>
      <c r="AV74" s="699">
        <v>0</v>
      </c>
    </row>
    <row r="75" spans="2:48" s="699" customFormat="1" x14ac:dyDescent="0.25">
      <c r="B75" s="693" t="s">
        <v>234</v>
      </c>
      <c r="C75" s="693" t="s">
        <v>1786</v>
      </c>
      <c r="D75" s="694" t="s">
        <v>1803</v>
      </c>
      <c r="E75" s="695" t="s">
        <v>1641</v>
      </c>
      <c r="F75" s="695" t="s">
        <v>1642</v>
      </c>
      <c r="G75" s="695" t="s">
        <v>144</v>
      </c>
      <c r="H75" s="695" t="s">
        <v>1494</v>
      </c>
      <c r="I75" s="695" t="s">
        <v>230</v>
      </c>
      <c r="J75" s="695" t="s">
        <v>1717</v>
      </c>
      <c r="K75" s="695" t="s">
        <v>1495</v>
      </c>
      <c r="L75" s="695" t="s">
        <v>1496</v>
      </c>
      <c r="M75" s="695" t="s">
        <v>1497</v>
      </c>
      <c r="N75" s="695"/>
      <c r="O75" s="695" t="s">
        <v>136</v>
      </c>
      <c r="P75" s="693" t="s">
        <v>1804</v>
      </c>
      <c r="Q75" s="693"/>
      <c r="R75" s="700">
        <v>-99377298</v>
      </c>
      <c r="S75" s="697">
        <v>-157662585</v>
      </c>
      <c r="T75" s="697">
        <v>-153860622.86754501</v>
      </c>
      <c r="U75" s="697">
        <v>-166323333.31981701</v>
      </c>
      <c r="V75" s="697">
        <v>-175005411.31911099</v>
      </c>
      <c r="W75" s="698"/>
      <c r="X75" s="698"/>
      <c r="Y75" s="698"/>
      <c r="Z75" s="698"/>
      <c r="AA75" s="698"/>
      <c r="AB75" s="698"/>
      <c r="AC75" s="698"/>
      <c r="AD75" s="698"/>
      <c r="AE75" s="698"/>
      <c r="AF75" s="698"/>
      <c r="AG75" s="698"/>
      <c r="AH75" s="698"/>
      <c r="AI75" s="698"/>
      <c r="AJ75" s="698"/>
      <c r="AK75" s="698"/>
      <c r="AL75" s="698"/>
      <c r="AM75" s="698"/>
      <c r="AN75" s="698"/>
      <c r="AO75" s="698"/>
      <c r="AP75" s="698"/>
      <c r="AQ75" s="698">
        <v>0</v>
      </c>
      <c r="AR75" s="698">
        <v>0</v>
      </c>
      <c r="AS75" s="698">
        <v>0</v>
      </c>
      <c r="AT75" s="699">
        <v>0</v>
      </c>
      <c r="AU75" s="699">
        <v>0</v>
      </c>
      <c r="AV75" s="699">
        <v>0</v>
      </c>
    </row>
    <row r="76" spans="2:48" s="699" customFormat="1" x14ac:dyDescent="0.25">
      <c r="B76" s="693" t="s">
        <v>234</v>
      </c>
      <c r="C76" s="693" t="s">
        <v>1786</v>
      </c>
      <c r="D76" s="694" t="s">
        <v>1805</v>
      </c>
      <c r="E76" s="695" t="s">
        <v>1641</v>
      </c>
      <c r="F76" s="695" t="s">
        <v>1642</v>
      </c>
      <c r="G76" s="695" t="s">
        <v>144</v>
      </c>
      <c r="H76" s="695" t="s">
        <v>1494</v>
      </c>
      <c r="I76" s="695" t="s">
        <v>230</v>
      </c>
      <c r="J76" s="695" t="s">
        <v>1720</v>
      </c>
      <c r="K76" s="695" t="s">
        <v>1495</v>
      </c>
      <c r="L76" s="695" t="s">
        <v>1496</v>
      </c>
      <c r="M76" s="695" t="s">
        <v>1497</v>
      </c>
      <c r="N76" s="695"/>
      <c r="O76" s="695" t="s">
        <v>136</v>
      </c>
      <c r="P76" s="693" t="s">
        <v>1515</v>
      </c>
      <c r="Q76" s="693"/>
      <c r="R76" s="700">
        <v>4741436.3817956001</v>
      </c>
      <c r="S76" s="697">
        <v>-49301505.6182044</v>
      </c>
      <c r="T76" s="697">
        <v>-47334703.638191402</v>
      </c>
      <c r="U76" s="697">
        <v>-51168814.632884897</v>
      </c>
      <c r="V76" s="697">
        <v>-53839826.756721497</v>
      </c>
      <c r="W76" s="698"/>
      <c r="X76" s="698"/>
      <c r="Y76" s="698"/>
      <c r="Z76" s="698"/>
      <c r="AA76" s="698"/>
      <c r="AB76" s="698"/>
      <c r="AC76" s="698"/>
      <c r="AD76" s="698"/>
      <c r="AE76" s="698"/>
      <c r="AF76" s="698"/>
      <c r="AG76" s="698"/>
      <c r="AH76" s="698"/>
      <c r="AI76" s="698"/>
      <c r="AJ76" s="698"/>
      <c r="AK76" s="698"/>
      <c r="AL76" s="698"/>
      <c r="AM76" s="698"/>
      <c r="AN76" s="698"/>
      <c r="AO76" s="698"/>
      <c r="AP76" s="698"/>
      <c r="AQ76" s="698">
        <v>0</v>
      </c>
      <c r="AR76" s="698">
        <v>0</v>
      </c>
      <c r="AS76" s="698">
        <v>0</v>
      </c>
      <c r="AT76" s="699">
        <v>0</v>
      </c>
      <c r="AU76" s="699">
        <v>0</v>
      </c>
      <c r="AV76" s="699">
        <v>0</v>
      </c>
    </row>
    <row r="77" spans="2:48" s="699" customFormat="1" x14ac:dyDescent="0.25">
      <c r="B77" s="693" t="s">
        <v>234</v>
      </c>
      <c r="C77" s="693" t="s">
        <v>1786</v>
      </c>
      <c r="D77" s="694" t="s">
        <v>1806</v>
      </c>
      <c r="E77" s="695" t="s">
        <v>1641</v>
      </c>
      <c r="F77" s="695" t="s">
        <v>1642</v>
      </c>
      <c r="G77" s="695" t="s">
        <v>144</v>
      </c>
      <c r="H77" s="695" t="s">
        <v>1494</v>
      </c>
      <c r="I77" s="695" t="s">
        <v>230</v>
      </c>
      <c r="J77" s="695" t="s">
        <v>1723</v>
      </c>
      <c r="K77" s="695" t="s">
        <v>1495</v>
      </c>
      <c r="L77" s="695" t="s">
        <v>1496</v>
      </c>
      <c r="M77" s="695" t="s">
        <v>1497</v>
      </c>
      <c r="N77" s="695"/>
      <c r="O77" s="695" t="s">
        <v>136</v>
      </c>
      <c r="P77" s="693" t="s">
        <v>1807</v>
      </c>
      <c r="Q77" s="693"/>
      <c r="R77" s="700">
        <v>6536384.1777182594</v>
      </c>
      <c r="S77" s="697">
        <v>-61791814.822281741</v>
      </c>
      <c r="T77" s="697">
        <v>-60332063.287694</v>
      </c>
      <c r="U77" s="697">
        <v>-65218960.413997203</v>
      </c>
      <c r="V77" s="697">
        <v>-68623390.147607893</v>
      </c>
      <c r="W77" s="698"/>
      <c r="X77" s="698"/>
      <c r="Y77" s="698"/>
      <c r="Z77" s="698"/>
      <c r="AA77" s="698"/>
      <c r="AB77" s="698"/>
      <c r="AC77" s="698"/>
      <c r="AD77" s="698"/>
      <c r="AE77" s="698"/>
      <c r="AF77" s="698"/>
      <c r="AG77" s="698"/>
      <c r="AH77" s="698"/>
      <c r="AI77" s="698"/>
      <c r="AJ77" s="698"/>
      <c r="AK77" s="698"/>
      <c r="AL77" s="698"/>
      <c r="AM77" s="698"/>
      <c r="AN77" s="698"/>
      <c r="AO77" s="698"/>
      <c r="AP77" s="698"/>
      <c r="AQ77" s="698">
        <v>0</v>
      </c>
      <c r="AR77" s="698">
        <v>0</v>
      </c>
      <c r="AS77" s="698">
        <v>0</v>
      </c>
      <c r="AT77" s="699">
        <v>0</v>
      </c>
      <c r="AU77" s="699">
        <v>0</v>
      </c>
      <c r="AV77" s="699">
        <v>0</v>
      </c>
    </row>
    <row r="78" spans="2:48" s="699" customFormat="1" x14ac:dyDescent="0.25">
      <c r="B78" s="693" t="s">
        <v>234</v>
      </c>
      <c r="C78" s="693" t="s">
        <v>1786</v>
      </c>
      <c r="D78" s="694" t="s">
        <v>1808</v>
      </c>
      <c r="E78" s="695" t="s">
        <v>1641</v>
      </c>
      <c r="F78" s="695" t="s">
        <v>1642</v>
      </c>
      <c r="G78" s="695" t="s">
        <v>144</v>
      </c>
      <c r="H78" s="695" t="s">
        <v>1494</v>
      </c>
      <c r="I78" s="695" t="s">
        <v>230</v>
      </c>
      <c r="J78" s="695" t="s">
        <v>1726</v>
      </c>
      <c r="K78" s="695" t="s">
        <v>1495</v>
      </c>
      <c r="L78" s="695" t="s">
        <v>1496</v>
      </c>
      <c r="M78" s="695" t="s">
        <v>1497</v>
      </c>
      <c r="N78" s="695"/>
      <c r="O78" s="695" t="s">
        <v>136</v>
      </c>
      <c r="P78" s="693" t="s">
        <v>1809</v>
      </c>
      <c r="Q78" s="693"/>
      <c r="R78" s="700">
        <v>4345016.1519468725</v>
      </c>
      <c r="S78" s="697">
        <v>-53832929.848053128</v>
      </c>
      <c r="T78" s="697">
        <v>-49946867.441949897</v>
      </c>
      <c r="U78" s="697">
        <v>-53992563.7047479</v>
      </c>
      <c r="V78" s="697">
        <v>-56810975.530135699</v>
      </c>
      <c r="W78" s="698"/>
      <c r="X78" s="698"/>
      <c r="Y78" s="698"/>
      <c r="Z78" s="698"/>
      <c r="AA78" s="698"/>
      <c r="AB78" s="698"/>
      <c r="AC78" s="698"/>
      <c r="AD78" s="698"/>
      <c r="AE78" s="698"/>
      <c r="AF78" s="698"/>
      <c r="AG78" s="698"/>
      <c r="AH78" s="698"/>
      <c r="AI78" s="698"/>
      <c r="AJ78" s="698"/>
      <c r="AK78" s="698"/>
      <c r="AL78" s="698"/>
      <c r="AM78" s="698"/>
      <c r="AN78" s="698"/>
      <c r="AO78" s="698"/>
      <c r="AP78" s="698"/>
      <c r="AQ78" s="698">
        <v>0</v>
      </c>
      <c r="AR78" s="698">
        <v>0</v>
      </c>
      <c r="AS78" s="698">
        <v>0</v>
      </c>
      <c r="AT78" s="699">
        <v>0</v>
      </c>
      <c r="AU78" s="699">
        <v>0</v>
      </c>
      <c r="AV78" s="699">
        <v>0</v>
      </c>
    </row>
    <row r="79" spans="2:48" s="699" customFormat="1" x14ac:dyDescent="0.25">
      <c r="B79" s="693" t="s">
        <v>234</v>
      </c>
      <c r="C79" s="693" t="s">
        <v>1786</v>
      </c>
      <c r="D79" s="694" t="s">
        <v>1810</v>
      </c>
      <c r="E79" s="695" t="s">
        <v>1641</v>
      </c>
      <c r="F79" s="695" t="s">
        <v>1642</v>
      </c>
      <c r="G79" s="695" t="s">
        <v>144</v>
      </c>
      <c r="H79" s="695" t="s">
        <v>1494</v>
      </c>
      <c r="I79" s="695" t="s">
        <v>230</v>
      </c>
      <c r="J79" s="695" t="s">
        <v>1729</v>
      </c>
      <c r="K79" s="695" t="s">
        <v>1495</v>
      </c>
      <c r="L79" s="695" t="s">
        <v>1496</v>
      </c>
      <c r="M79" s="695" t="s">
        <v>1497</v>
      </c>
      <c r="N79" s="695"/>
      <c r="O79" s="695" t="s">
        <v>136</v>
      </c>
      <c r="P79" s="693" t="s">
        <v>1811</v>
      </c>
      <c r="Q79" s="693"/>
      <c r="R79" s="700">
        <v>3455265.7711205482</v>
      </c>
      <c r="S79" s="697">
        <v>-75530087.228879452</v>
      </c>
      <c r="T79" s="697">
        <v>-85577858.703750297</v>
      </c>
      <c r="U79" s="697">
        <v>-92509665.258754104</v>
      </c>
      <c r="V79" s="697">
        <v>-97338669.785261005</v>
      </c>
      <c r="W79" s="698"/>
      <c r="X79" s="698"/>
      <c r="Y79" s="698"/>
      <c r="Z79" s="698"/>
      <c r="AA79" s="698"/>
      <c r="AB79" s="698"/>
      <c r="AC79" s="698"/>
      <c r="AD79" s="698"/>
      <c r="AE79" s="698"/>
      <c r="AF79" s="698"/>
      <c r="AG79" s="698"/>
      <c r="AH79" s="698"/>
      <c r="AI79" s="698"/>
      <c r="AJ79" s="698"/>
      <c r="AK79" s="698"/>
      <c r="AL79" s="698"/>
      <c r="AM79" s="698"/>
      <c r="AN79" s="698"/>
      <c r="AO79" s="698"/>
      <c r="AP79" s="698"/>
      <c r="AQ79" s="698">
        <v>0</v>
      </c>
      <c r="AR79" s="698">
        <v>0</v>
      </c>
      <c r="AS79" s="698">
        <v>0</v>
      </c>
      <c r="AT79" s="699">
        <v>0</v>
      </c>
      <c r="AU79" s="699">
        <v>0</v>
      </c>
      <c r="AV79" s="699">
        <v>0</v>
      </c>
    </row>
    <row r="80" spans="2:48" s="699" customFormat="1" x14ac:dyDescent="0.25">
      <c r="B80" s="693" t="s">
        <v>234</v>
      </c>
      <c r="C80" s="693" t="s">
        <v>1786</v>
      </c>
      <c r="D80" s="694" t="s">
        <v>1812</v>
      </c>
      <c r="E80" s="695" t="s">
        <v>1641</v>
      </c>
      <c r="F80" s="695" t="s">
        <v>1642</v>
      </c>
      <c r="G80" s="695" t="s">
        <v>144</v>
      </c>
      <c r="H80" s="695" t="s">
        <v>1494</v>
      </c>
      <c r="I80" s="695" t="s">
        <v>230</v>
      </c>
      <c r="J80" s="695" t="s">
        <v>1732</v>
      </c>
      <c r="K80" s="695" t="s">
        <v>1495</v>
      </c>
      <c r="L80" s="695" t="s">
        <v>1496</v>
      </c>
      <c r="M80" s="695" t="s">
        <v>1497</v>
      </c>
      <c r="N80" s="695"/>
      <c r="O80" s="695" t="s">
        <v>136</v>
      </c>
      <c r="P80" s="693" t="s">
        <v>1813</v>
      </c>
      <c r="Q80" s="693"/>
      <c r="R80" s="700">
        <v>-70816073.777467221</v>
      </c>
      <c r="S80" s="697">
        <v>-124694195.77746722</v>
      </c>
      <c r="T80" s="697">
        <v>-146707458.958709</v>
      </c>
      <c r="U80" s="697">
        <v>-158590763.13436401</v>
      </c>
      <c r="V80" s="697">
        <v>-166869200.969978</v>
      </c>
      <c r="W80" s="698"/>
      <c r="X80" s="698"/>
      <c r="Y80" s="698"/>
      <c r="Z80" s="698"/>
      <c r="AA80" s="698"/>
      <c r="AB80" s="698"/>
      <c r="AC80" s="698"/>
      <c r="AD80" s="698"/>
      <c r="AE80" s="698"/>
      <c r="AF80" s="698"/>
      <c r="AG80" s="698"/>
      <c r="AH80" s="698"/>
      <c r="AI80" s="698"/>
      <c r="AJ80" s="698"/>
      <c r="AK80" s="698"/>
      <c r="AL80" s="698"/>
      <c r="AM80" s="698"/>
      <c r="AN80" s="698"/>
      <c r="AO80" s="698"/>
      <c r="AP80" s="698"/>
      <c r="AQ80" s="698">
        <v>0</v>
      </c>
      <c r="AR80" s="698">
        <v>0</v>
      </c>
      <c r="AS80" s="698">
        <v>0</v>
      </c>
      <c r="AT80" s="699">
        <v>0</v>
      </c>
      <c r="AU80" s="699">
        <v>0</v>
      </c>
      <c r="AV80" s="699">
        <v>0</v>
      </c>
    </row>
    <row r="81" spans="2:48" s="699" customFormat="1" x14ac:dyDescent="0.25">
      <c r="B81" s="693" t="s">
        <v>234</v>
      </c>
      <c r="C81" s="693" t="s">
        <v>1786</v>
      </c>
      <c r="D81" s="694" t="s">
        <v>1814</v>
      </c>
      <c r="E81" s="695" t="s">
        <v>1641</v>
      </c>
      <c r="F81" s="695" t="s">
        <v>1642</v>
      </c>
      <c r="G81" s="695" t="s">
        <v>144</v>
      </c>
      <c r="H81" s="695" t="s">
        <v>1494</v>
      </c>
      <c r="I81" s="695" t="s">
        <v>230</v>
      </c>
      <c r="J81" s="695" t="s">
        <v>1735</v>
      </c>
      <c r="K81" s="695" t="s">
        <v>1495</v>
      </c>
      <c r="L81" s="695" t="s">
        <v>1496</v>
      </c>
      <c r="M81" s="695" t="s">
        <v>1497</v>
      </c>
      <c r="N81" s="695"/>
      <c r="O81" s="695" t="s">
        <v>136</v>
      </c>
      <c r="P81" s="693" t="s">
        <v>1815</v>
      </c>
      <c r="Q81" s="693"/>
      <c r="R81" s="700">
        <v>-73465576.151987433</v>
      </c>
      <c r="S81" s="697">
        <v>-103947517.15198743</v>
      </c>
      <c r="T81" s="697">
        <v>-129934112.55931599</v>
      </c>
      <c r="U81" s="697">
        <v>-140458775.67662099</v>
      </c>
      <c r="V81" s="697">
        <v>-147790723.76694</v>
      </c>
      <c r="W81" s="698"/>
      <c r="X81" s="698"/>
      <c r="Y81" s="698"/>
      <c r="Z81" s="698"/>
      <c r="AA81" s="698"/>
      <c r="AB81" s="698"/>
      <c r="AC81" s="698"/>
      <c r="AD81" s="698"/>
      <c r="AE81" s="698"/>
      <c r="AF81" s="698"/>
      <c r="AG81" s="698"/>
      <c r="AH81" s="698"/>
      <c r="AI81" s="698"/>
      <c r="AJ81" s="698"/>
      <c r="AK81" s="698"/>
      <c r="AL81" s="698"/>
      <c r="AM81" s="698"/>
      <c r="AN81" s="698"/>
      <c r="AO81" s="698"/>
      <c r="AP81" s="698"/>
      <c r="AQ81" s="698">
        <v>0</v>
      </c>
      <c r="AR81" s="698">
        <v>0</v>
      </c>
      <c r="AS81" s="698">
        <v>0</v>
      </c>
      <c r="AT81" s="699">
        <v>0</v>
      </c>
      <c r="AU81" s="699">
        <v>0</v>
      </c>
      <c r="AV81" s="699">
        <v>0</v>
      </c>
    </row>
    <row r="82" spans="2:48" s="699" customFormat="1" x14ac:dyDescent="0.25">
      <c r="B82" s="693" t="s">
        <v>234</v>
      </c>
      <c r="C82" s="693" t="s">
        <v>1816</v>
      </c>
      <c r="D82" s="694" t="s">
        <v>1817</v>
      </c>
      <c r="E82" s="695" t="s">
        <v>1641</v>
      </c>
      <c r="F82" s="695" t="s">
        <v>1642</v>
      </c>
      <c r="G82" s="695" t="s">
        <v>144</v>
      </c>
      <c r="H82" s="695" t="s">
        <v>1494</v>
      </c>
      <c r="I82" s="695" t="s">
        <v>1818</v>
      </c>
      <c r="J82" s="695" t="s">
        <v>144</v>
      </c>
      <c r="K82" s="695" t="s">
        <v>1495</v>
      </c>
      <c r="L82" s="695" t="s">
        <v>1496</v>
      </c>
      <c r="M82" s="695" t="s">
        <v>1497</v>
      </c>
      <c r="N82" s="695"/>
      <c r="O82" s="695" t="s">
        <v>136</v>
      </c>
      <c r="P82" s="693" t="s">
        <v>1516</v>
      </c>
      <c r="Q82" s="693"/>
      <c r="R82" s="700">
        <v>-119022</v>
      </c>
      <c r="S82" s="697">
        <v>-147086</v>
      </c>
      <c r="T82" s="776">
        <v>-192411.03245711399</v>
      </c>
      <c r="U82" s="697">
        <v>-207996.32608614</v>
      </c>
      <c r="V82" s="697">
        <v>-218853.734307837</v>
      </c>
      <c r="W82" s="698"/>
      <c r="X82" s="698"/>
      <c r="Y82" s="698"/>
      <c r="Z82" s="698"/>
      <c r="AA82" s="698"/>
      <c r="AB82" s="698"/>
      <c r="AC82" s="698"/>
      <c r="AD82" s="698"/>
      <c r="AE82" s="698"/>
      <c r="AF82" s="698"/>
      <c r="AG82" s="698"/>
      <c r="AH82" s="698"/>
      <c r="AI82" s="698"/>
      <c r="AJ82" s="698"/>
      <c r="AK82" s="698"/>
      <c r="AL82" s="698"/>
      <c r="AM82" s="698"/>
      <c r="AN82" s="698"/>
      <c r="AO82" s="698"/>
      <c r="AP82" s="698"/>
      <c r="AQ82" s="698">
        <v>0</v>
      </c>
      <c r="AR82" s="698">
        <v>0</v>
      </c>
      <c r="AS82" s="698">
        <v>0</v>
      </c>
      <c r="AT82" s="699">
        <v>0</v>
      </c>
      <c r="AU82" s="699">
        <v>0</v>
      </c>
      <c r="AV82" s="699">
        <v>0</v>
      </c>
    </row>
    <row r="83" spans="2:48" s="699" customFormat="1" x14ac:dyDescent="0.25">
      <c r="B83" s="693" t="s">
        <v>234</v>
      </c>
      <c r="C83" s="693" t="s">
        <v>1816</v>
      </c>
      <c r="D83" s="694" t="s">
        <v>1819</v>
      </c>
      <c r="E83" s="695" t="s">
        <v>1641</v>
      </c>
      <c r="F83" s="695" t="s">
        <v>1642</v>
      </c>
      <c r="G83" s="695" t="s">
        <v>144</v>
      </c>
      <c r="H83" s="695" t="s">
        <v>1494</v>
      </c>
      <c r="I83" s="695" t="s">
        <v>1818</v>
      </c>
      <c r="J83" s="695" t="s">
        <v>155</v>
      </c>
      <c r="K83" s="695" t="s">
        <v>1495</v>
      </c>
      <c r="L83" s="695" t="s">
        <v>1496</v>
      </c>
      <c r="M83" s="695" t="s">
        <v>1497</v>
      </c>
      <c r="N83" s="695"/>
      <c r="O83" s="695" t="s">
        <v>136</v>
      </c>
      <c r="P83" s="693" t="s">
        <v>1820</v>
      </c>
      <c r="Q83" s="693"/>
      <c r="R83" s="700">
        <v>-125431</v>
      </c>
      <c r="S83" s="697">
        <v>-170796</v>
      </c>
      <c r="T83" s="776">
        <v>-230906.674068405</v>
      </c>
      <c r="U83" s="697">
        <v>-249610.11466794601</v>
      </c>
      <c r="V83" s="697">
        <v>-262639.762653613</v>
      </c>
      <c r="W83" s="698"/>
      <c r="X83" s="698"/>
      <c r="Y83" s="698"/>
      <c r="Z83" s="698"/>
      <c r="AA83" s="698"/>
      <c r="AB83" s="698"/>
      <c r="AC83" s="698"/>
      <c r="AD83" s="698"/>
      <c r="AE83" s="698"/>
      <c r="AF83" s="698"/>
      <c r="AG83" s="698"/>
      <c r="AH83" s="698"/>
      <c r="AI83" s="698"/>
      <c r="AJ83" s="698"/>
      <c r="AK83" s="698"/>
      <c r="AL83" s="698"/>
      <c r="AM83" s="698"/>
      <c r="AN83" s="698"/>
      <c r="AO83" s="698"/>
      <c r="AP83" s="698"/>
      <c r="AQ83" s="698">
        <v>0</v>
      </c>
      <c r="AR83" s="698">
        <v>0</v>
      </c>
      <c r="AS83" s="698">
        <v>0</v>
      </c>
      <c r="AT83" s="699">
        <v>0</v>
      </c>
      <c r="AU83" s="699">
        <v>0</v>
      </c>
      <c r="AV83" s="699">
        <v>0</v>
      </c>
    </row>
    <row r="84" spans="2:48" s="699" customFormat="1" x14ac:dyDescent="0.25">
      <c r="B84" s="693" t="s">
        <v>234</v>
      </c>
      <c r="C84" s="693" t="s">
        <v>1816</v>
      </c>
      <c r="D84" s="694" t="s">
        <v>1821</v>
      </c>
      <c r="E84" s="695" t="s">
        <v>1641</v>
      </c>
      <c r="F84" s="695" t="s">
        <v>1642</v>
      </c>
      <c r="G84" s="695" t="s">
        <v>144</v>
      </c>
      <c r="H84" s="695" t="s">
        <v>1494</v>
      </c>
      <c r="I84" s="695" t="s">
        <v>1818</v>
      </c>
      <c r="J84" s="695" t="s">
        <v>145</v>
      </c>
      <c r="K84" s="695" t="s">
        <v>1495</v>
      </c>
      <c r="L84" s="695" t="s">
        <v>1496</v>
      </c>
      <c r="M84" s="695" t="s">
        <v>1497</v>
      </c>
      <c r="N84" s="695"/>
      <c r="O84" s="695" t="s">
        <v>136</v>
      </c>
      <c r="P84" s="693" t="s">
        <v>1822</v>
      </c>
      <c r="Q84" s="693"/>
      <c r="R84" s="700">
        <v>-96690</v>
      </c>
      <c r="S84" s="697">
        <v>-131302</v>
      </c>
      <c r="T84" s="776">
        <v>-157248.53660010299</v>
      </c>
      <c r="U84" s="697">
        <v>-169985.668064711</v>
      </c>
      <c r="V84" s="697">
        <v>-178858.919937689</v>
      </c>
      <c r="W84" s="698"/>
      <c r="X84" s="698"/>
      <c r="Y84" s="698"/>
      <c r="Z84" s="698"/>
      <c r="AA84" s="698"/>
      <c r="AB84" s="698"/>
      <c r="AC84" s="698"/>
      <c r="AD84" s="698"/>
      <c r="AE84" s="698"/>
      <c r="AF84" s="698"/>
      <c r="AG84" s="698"/>
      <c r="AH84" s="698"/>
      <c r="AI84" s="698"/>
      <c r="AJ84" s="698"/>
      <c r="AK84" s="698"/>
      <c r="AL84" s="698"/>
      <c r="AM84" s="698"/>
      <c r="AN84" s="698"/>
      <c r="AO84" s="698"/>
      <c r="AP84" s="698"/>
      <c r="AQ84" s="698">
        <v>0</v>
      </c>
      <c r="AR84" s="698">
        <v>0</v>
      </c>
      <c r="AS84" s="698">
        <v>0</v>
      </c>
      <c r="AT84" s="699">
        <v>0</v>
      </c>
      <c r="AU84" s="699">
        <v>0</v>
      </c>
      <c r="AV84" s="699">
        <v>0</v>
      </c>
    </row>
    <row r="85" spans="2:48" s="699" customFormat="1" x14ac:dyDescent="0.25">
      <c r="B85" s="693" t="s">
        <v>234</v>
      </c>
      <c r="C85" s="693" t="s">
        <v>1816</v>
      </c>
      <c r="D85" s="694" t="s">
        <v>1823</v>
      </c>
      <c r="E85" s="695" t="s">
        <v>1641</v>
      </c>
      <c r="F85" s="695" t="s">
        <v>1642</v>
      </c>
      <c r="G85" s="695" t="s">
        <v>144</v>
      </c>
      <c r="H85" s="695" t="s">
        <v>1494</v>
      </c>
      <c r="I85" s="695" t="s">
        <v>1818</v>
      </c>
      <c r="J85" s="695" t="s">
        <v>146</v>
      </c>
      <c r="K85" s="695" t="s">
        <v>1495</v>
      </c>
      <c r="L85" s="695" t="s">
        <v>1496</v>
      </c>
      <c r="M85" s="695" t="s">
        <v>1497</v>
      </c>
      <c r="N85" s="695"/>
      <c r="O85" s="695" t="s">
        <v>136</v>
      </c>
      <c r="P85" s="693" t="s">
        <v>1824</v>
      </c>
      <c r="Q85" s="693"/>
      <c r="R85" s="700">
        <v>-155779</v>
      </c>
      <c r="S85" s="697">
        <v>-286896</v>
      </c>
      <c r="T85" s="776">
        <v>-280076.93841688801</v>
      </c>
      <c r="U85" s="697">
        <v>-302763.17042865598</v>
      </c>
      <c r="V85" s="697">
        <v>-318567.40792503202</v>
      </c>
      <c r="W85" s="698"/>
      <c r="X85" s="698"/>
      <c r="Y85" s="698"/>
      <c r="Z85" s="698"/>
      <c r="AA85" s="698"/>
      <c r="AB85" s="698"/>
      <c r="AC85" s="698"/>
      <c r="AD85" s="698"/>
      <c r="AE85" s="698"/>
      <c r="AF85" s="698"/>
      <c r="AG85" s="698"/>
      <c r="AH85" s="698"/>
      <c r="AI85" s="698"/>
      <c r="AJ85" s="698"/>
      <c r="AK85" s="698"/>
      <c r="AL85" s="698"/>
      <c r="AM85" s="698"/>
      <c r="AN85" s="698"/>
      <c r="AO85" s="698"/>
      <c r="AP85" s="698"/>
      <c r="AQ85" s="698">
        <v>0</v>
      </c>
      <c r="AR85" s="698">
        <v>0</v>
      </c>
      <c r="AS85" s="698">
        <v>0</v>
      </c>
      <c r="AT85" s="699">
        <v>0</v>
      </c>
      <c r="AU85" s="699">
        <v>0</v>
      </c>
      <c r="AV85" s="699">
        <v>0</v>
      </c>
    </row>
    <row r="86" spans="2:48" s="699" customFormat="1" x14ac:dyDescent="0.25">
      <c r="B86" s="693" t="s">
        <v>234</v>
      </c>
      <c r="C86" s="693" t="s">
        <v>1816</v>
      </c>
      <c r="D86" s="694" t="s">
        <v>1825</v>
      </c>
      <c r="E86" s="695" t="s">
        <v>1641</v>
      </c>
      <c r="F86" s="695" t="s">
        <v>1642</v>
      </c>
      <c r="G86" s="695" t="s">
        <v>144</v>
      </c>
      <c r="H86" s="695" t="s">
        <v>1494</v>
      </c>
      <c r="I86" s="695" t="s">
        <v>1818</v>
      </c>
      <c r="J86" s="695" t="s">
        <v>147</v>
      </c>
      <c r="K86" s="695" t="s">
        <v>1495</v>
      </c>
      <c r="L86" s="695" t="s">
        <v>1496</v>
      </c>
      <c r="M86" s="695" t="s">
        <v>1497</v>
      </c>
      <c r="N86" s="695"/>
      <c r="O86" s="695" t="s">
        <v>136</v>
      </c>
      <c r="P86" s="693" t="s">
        <v>1517</v>
      </c>
      <c r="Q86" s="693"/>
      <c r="R86" s="700">
        <v>-258177</v>
      </c>
      <c r="S86" s="697">
        <v>-443245</v>
      </c>
      <c r="T86" s="776">
        <v>-415901.60870212503</v>
      </c>
      <c r="U86" s="697">
        <v>-449589.63900699699</v>
      </c>
      <c r="V86" s="697">
        <v>-473058.218163162</v>
      </c>
      <c r="W86" s="698"/>
      <c r="X86" s="698"/>
      <c r="Y86" s="698"/>
      <c r="Z86" s="698"/>
      <c r="AA86" s="698"/>
      <c r="AB86" s="698"/>
      <c r="AC86" s="698"/>
      <c r="AD86" s="698"/>
      <c r="AE86" s="698"/>
      <c r="AF86" s="698"/>
      <c r="AG86" s="698"/>
      <c r="AH86" s="698"/>
      <c r="AI86" s="698"/>
      <c r="AJ86" s="698"/>
      <c r="AK86" s="698"/>
      <c r="AL86" s="698"/>
      <c r="AM86" s="698"/>
      <c r="AN86" s="698"/>
      <c r="AO86" s="698"/>
      <c r="AP86" s="698"/>
      <c r="AQ86" s="698">
        <v>0</v>
      </c>
      <c r="AR86" s="698">
        <v>0</v>
      </c>
      <c r="AS86" s="698">
        <v>0</v>
      </c>
      <c r="AT86" s="699">
        <v>0</v>
      </c>
      <c r="AU86" s="699">
        <v>0</v>
      </c>
      <c r="AV86" s="699">
        <v>0</v>
      </c>
    </row>
    <row r="87" spans="2:48" s="699" customFormat="1" x14ac:dyDescent="0.25">
      <c r="B87" s="693" t="s">
        <v>234</v>
      </c>
      <c r="C87" s="693" t="s">
        <v>1816</v>
      </c>
      <c r="D87" s="694" t="s">
        <v>1826</v>
      </c>
      <c r="E87" s="695" t="s">
        <v>1641</v>
      </c>
      <c r="F87" s="695" t="s">
        <v>1642</v>
      </c>
      <c r="G87" s="695" t="s">
        <v>144</v>
      </c>
      <c r="H87" s="695" t="s">
        <v>1494</v>
      </c>
      <c r="I87" s="695" t="s">
        <v>1818</v>
      </c>
      <c r="J87" s="695" t="s">
        <v>148</v>
      </c>
      <c r="K87" s="695" t="s">
        <v>1495</v>
      </c>
      <c r="L87" s="695" t="s">
        <v>1496</v>
      </c>
      <c r="M87" s="695" t="s">
        <v>1497</v>
      </c>
      <c r="N87" s="695"/>
      <c r="O87" s="695" t="s">
        <v>136</v>
      </c>
      <c r="P87" s="693" t="s">
        <v>1827</v>
      </c>
      <c r="Q87" s="693"/>
      <c r="R87" s="700">
        <v>1229886</v>
      </c>
      <c r="S87" s="697">
        <v>-343005</v>
      </c>
      <c r="T87" s="776">
        <v>-307344.54579824401</v>
      </c>
      <c r="U87" s="697">
        <v>-332239.45400790201</v>
      </c>
      <c r="V87" s="697">
        <v>-349582.35350711399</v>
      </c>
      <c r="W87" s="698"/>
      <c r="X87" s="698"/>
      <c r="Y87" s="698"/>
      <c r="Z87" s="698"/>
      <c r="AA87" s="698"/>
      <c r="AB87" s="698"/>
      <c r="AC87" s="698"/>
      <c r="AD87" s="698"/>
      <c r="AE87" s="698"/>
      <c r="AF87" s="698"/>
      <c r="AG87" s="698"/>
      <c r="AH87" s="698"/>
      <c r="AI87" s="698"/>
      <c r="AJ87" s="698"/>
      <c r="AK87" s="698"/>
      <c r="AL87" s="698"/>
      <c r="AM87" s="698"/>
      <c r="AN87" s="698"/>
      <c r="AO87" s="698"/>
      <c r="AP87" s="698"/>
      <c r="AQ87" s="698">
        <v>0</v>
      </c>
      <c r="AR87" s="698">
        <v>0</v>
      </c>
      <c r="AS87" s="698">
        <v>0</v>
      </c>
      <c r="AT87" s="699">
        <v>0</v>
      </c>
      <c r="AU87" s="699">
        <v>0</v>
      </c>
      <c r="AV87" s="699">
        <v>0</v>
      </c>
    </row>
    <row r="88" spans="2:48" s="699" customFormat="1" x14ac:dyDescent="0.25">
      <c r="B88" s="693" t="s">
        <v>234</v>
      </c>
      <c r="C88" s="693" t="s">
        <v>1828</v>
      </c>
      <c r="D88" s="694" t="s">
        <v>1829</v>
      </c>
      <c r="E88" s="695" t="s">
        <v>1641</v>
      </c>
      <c r="F88" s="695" t="s">
        <v>1642</v>
      </c>
      <c r="G88" s="695" t="s">
        <v>144</v>
      </c>
      <c r="H88" s="695" t="s">
        <v>1494</v>
      </c>
      <c r="I88" s="695" t="s">
        <v>1830</v>
      </c>
      <c r="J88" s="695" t="s">
        <v>144</v>
      </c>
      <c r="K88" s="695" t="s">
        <v>1495</v>
      </c>
      <c r="L88" s="695" t="s">
        <v>1496</v>
      </c>
      <c r="M88" s="695" t="s">
        <v>1497</v>
      </c>
      <c r="N88" s="695"/>
      <c r="O88" s="695" t="s">
        <v>136</v>
      </c>
      <c r="P88" s="693" t="s">
        <v>1831</v>
      </c>
      <c r="Q88" s="693"/>
      <c r="R88" s="700">
        <v>665107</v>
      </c>
      <c r="S88" s="697">
        <v>-540521</v>
      </c>
      <c r="T88" s="697">
        <v>-568239.36991858506</v>
      </c>
      <c r="U88" s="697">
        <v>-614266.75888198998</v>
      </c>
      <c r="V88" s="697">
        <v>-646331.48369562998</v>
      </c>
      <c r="W88" s="698"/>
      <c r="X88" s="698"/>
      <c r="Y88" s="698"/>
      <c r="Z88" s="698"/>
      <c r="AA88" s="698"/>
      <c r="AB88" s="698"/>
      <c r="AC88" s="698"/>
      <c r="AD88" s="698"/>
      <c r="AE88" s="698"/>
      <c r="AF88" s="698"/>
      <c r="AG88" s="698"/>
      <c r="AH88" s="698"/>
      <c r="AI88" s="698"/>
      <c r="AJ88" s="698"/>
      <c r="AK88" s="698"/>
      <c r="AL88" s="698"/>
      <c r="AM88" s="698"/>
      <c r="AN88" s="698"/>
      <c r="AO88" s="698"/>
      <c r="AP88" s="698"/>
      <c r="AQ88" s="698">
        <v>0</v>
      </c>
      <c r="AR88" s="698">
        <v>0</v>
      </c>
      <c r="AS88" s="698">
        <v>0</v>
      </c>
      <c r="AT88" s="699">
        <v>0</v>
      </c>
      <c r="AU88" s="699">
        <v>0</v>
      </c>
      <c r="AV88" s="699">
        <v>0</v>
      </c>
    </row>
    <row r="89" spans="2:48" s="699" customFormat="1" x14ac:dyDescent="0.25">
      <c r="B89" s="693" t="s">
        <v>234</v>
      </c>
      <c r="C89" s="693" t="s">
        <v>1828</v>
      </c>
      <c r="D89" s="694" t="s">
        <v>1832</v>
      </c>
      <c r="E89" s="695" t="s">
        <v>1641</v>
      </c>
      <c r="F89" s="695" t="s">
        <v>1642</v>
      </c>
      <c r="G89" s="695" t="s">
        <v>144</v>
      </c>
      <c r="H89" s="695" t="s">
        <v>1494</v>
      </c>
      <c r="I89" s="695" t="s">
        <v>1830</v>
      </c>
      <c r="J89" s="695" t="s">
        <v>155</v>
      </c>
      <c r="K89" s="695" t="s">
        <v>1495</v>
      </c>
      <c r="L89" s="695" t="s">
        <v>1496</v>
      </c>
      <c r="M89" s="695" t="s">
        <v>1497</v>
      </c>
      <c r="N89" s="695"/>
      <c r="O89" s="695" t="s">
        <v>136</v>
      </c>
      <c r="P89" s="693" t="s">
        <v>1833</v>
      </c>
      <c r="Q89" s="693"/>
      <c r="R89" s="700">
        <v>842284</v>
      </c>
      <c r="S89" s="697">
        <v>-739458</v>
      </c>
      <c r="T89" s="697">
        <v>-797973.54375115305</v>
      </c>
      <c r="U89" s="697">
        <v>-862609.40079499595</v>
      </c>
      <c r="V89" s="697">
        <v>-907637.611516495</v>
      </c>
      <c r="W89" s="698"/>
      <c r="X89" s="698"/>
      <c r="Y89" s="698"/>
      <c r="Z89" s="698"/>
      <c r="AA89" s="698"/>
      <c r="AB89" s="698"/>
      <c r="AC89" s="698"/>
      <c r="AD89" s="698"/>
      <c r="AE89" s="698"/>
      <c r="AF89" s="698"/>
      <c r="AG89" s="698"/>
      <c r="AH89" s="698"/>
      <c r="AI89" s="698"/>
      <c r="AJ89" s="698"/>
      <c r="AK89" s="698"/>
      <c r="AL89" s="698"/>
      <c r="AM89" s="698"/>
      <c r="AN89" s="698"/>
      <c r="AO89" s="698"/>
      <c r="AP89" s="698"/>
      <c r="AQ89" s="698">
        <v>0</v>
      </c>
      <c r="AR89" s="698">
        <v>0</v>
      </c>
      <c r="AS89" s="698">
        <v>0</v>
      </c>
      <c r="AT89" s="699">
        <v>0</v>
      </c>
      <c r="AU89" s="699">
        <v>0</v>
      </c>
      <c r="AV89" s="699">
        <v>0</v>
      </c>
    </row>
    <row r="90" spans="2:48" s="699" customFormat="1" x14ac:dyDescent="0.25">
      <c r="B90" s="693" t="s">
        <v>234</v>
      </c>
      <c r="C90" s="693" t="s">
        <v>1828</v>
      </c>
      <c r="D90" s="694" t="s">
        <v>1834</v>
      </c>
      <c r="E90" s="695" t="s">
        <v>1641</v>
      </c>
      <c r="F90" s="695" t="s">
        <v>1642</v>
      </c>
      <c r="G90" s="695" t="s">
        <v>144</v>
      </c>
      <c r="H90" s="695" t="s">
        <v>1494</v>
      </c>
      <c r="I90" s="695" t="s">
        <v>1830</v>
      </c>
      <c r="J90" s="695" t="s">
        <v>145</v>
      </c>
      <c r="K90" s="695" t="s">
        <v>1495</v>
      </c>
      <c r="L90" s="695" t="s">
        <v>1496</v>
      </c>
      <c r="M90" s="695" t="s">
        <v>1497</v>
      </c>
      <c r="N90" s="695"/>
      <c r="O90" s="695" t="s">
        <v>136</v>
      </c>
      <c r="P90" s="693" t="s">
        <v>1835</v>
      </c>
      <c r="Q90" s="693"/>
      <c r="R90" s="700">
        <v>1066433</v>
      </c>
      <c r="S90" s="697">
        <v>-763219</v>
      </c>
      <c r="T90" s="697">
        <v>-772859.447989112</v>
      </c>
      <c r="U90" s="697">
        <v>-835461.06327623001</v>
      </c>
      <c r="V90" s="697">
        <v>-879072.13077924901</v>
      </c>
      <c r="W90" s="698"/>
      <c r="X90" s="698"/>
      <c r="Y90" s="698"/>
      <c r="Z90" s="698"/>
      <c r="AA90" s="698"/>
      <c r="AB90" s="698"/>
      <c r="AC90" s="698"/>
      <c r="AD90" s="698"/>
      <c r="AE90" s="698"/>
      <c r="AF90" s="698"/>
      <c r="AG90" s="698"/>
      <c r="AH90" s="698"/>
      <c r="AI90" s="698"/>
      <c r="AJ90" s="698"/>
      <c r="AK90" s="698"/>
      <c r="AL90" s="698"/>
      <c r="AM90" s="698"/>
      <c r="AN90" s="698"/>
      <c r="AO90" s="698"/>
      <c r="AP90" s="698"/>
      <c r="AQ90" s="698">
        <v>0</v>
      </c>
      <c r="AR90" s="698">
        <v>0</v>
      </c>
      <c r="AS90" s="698">
        <v>0</v>
      </c>
      <c r="AT90" s="699">
        <v>0</v>
      </c>
      <c r="AU90" s="699">
        <v>0</v>
      </c>
      <c r="AV90" s="699">
        <v>0</v>
      </c>
    </row>
    <row r="91" spans="2:48" s="699" customFormat="1" x14ac:dyDescent="0.25">
      <c r="B91" s="693" t="s">
        <v>234</v>
      </c>
      <c r="C91" s="693" t="s">
        <v>1828</v>
      </c>
      <c r="D91" s="694" t="s">
        <v>1836</v>
      </c>
      <c r="E91" s="695" t="s">
        <v>1641</v>
      </c>
      <c r="F91" s="695" t="s">
        <v>1642</v>
      </c>
      <c r="G91" s="695" t="s">
        <v>144</v>
      </c>
      <c r="H91" s="695" t="s">
        <v>1494</v>
      </c>
      <c r="I91" s="695" t="s">
        <v>1830</v>
      </c>
      <c r="J91" s="695" t="s">
        <v>146</v>
      </c>
      <c r="K91" s="695" t="s">
        <v>1495</v>
      </c>
      <c r="L91" s="695" t="s">
        <v>1496</v>
      </c>
      <c r="M91" s="695" t="s">
        <v>1497</v>
      </c>
      <c r="N91" s="695"/>
      <c r="O91" s="695" t="s">
        <v>136</v>
      </c>
      <c r="P91" s="693" t="s">
        <v>1837</v>
      </c>
      <c r="Q91" s="693"/>
      <c r="R91" s="700">
        <v>98946</v>
      </c>
      <c r="S91" s="697">
        <v>-1725884</v>
      </c>
      <c r="T91" s="697">
        <v>-1355405.0831580099</v>
      </c>
      <c r="U91" s="697">
        <v>-1465192.8948938099</v>
      </c>
      <c r="V91" s="697">
        <v>-1541675.96400726</v>
      </c>
      <c r="W91" s="698"/>
      <c r="X91" s="698"/>
      <c r="Y91" s="698"/>
      <c r="Z91" s="698"/>
      <c r="AA91" s="698"/>
      <c r="AB91" s="698"/>
      <c r="AC91" s="698"/>
      <c r="AD91" s="698"/>
      <c r="AE91" s="698"/>
      <c r="AF91" s="698"/>
      <c r="AG91" s="698"/>
      <c r="AH91" s="698"/>
      <c r="AI91" s="698"/>
      <c r="AJ91" s="698"/>
      <c r="AK91" s="698"/>
      <c r="AL91" s="698"/>
      <c r="AM91" s="698"/>
      <c r="AN91" s="698"/>
      <c r="AO91" s="698"/>
      <c r="AP91" s="698"/>
      <c r="AQ91" s="698">
        <v>0</v>
      </c>
      <c r="AR91" s="698">
        <v>0</v>
      </c>
      <c r="AS91" s="698">
        <v>0</v>
      </c>
      <c r="AT91" s="699">
        <v>0</v>
      </c>
      <c r="AU91" s="699">
        <v>0</v>
      </c>
      <c r="AV91" s="699">
        <v>0</v>
      </c>
    </row>
    <row r="92" spans="2:48" s="699" customFormat="1" x14ac:dyDescent="0.25">
      <c r="B92" s="693" t="s">
        <v>234</v>
      </c>
      <c r="C92" s="693" t="s">
        <v>1828</v>
      </c>
      <c r="D92" s="694" t="s">
        <v>1838</v>
      </c>
      <c r="E92" s="695" t="s">
        <v>1641</v>
      </c>
      <c r="F92" s="695" t="s">
        <v>1642</v>
      </c>
      <c r="G92" s="695" t="s">
        <v>144</v>
      </c>
      <c r="H92" s="695" t="s">
        <v>1494</v>
      </c>
      <c r="I92" s="695" t="s">
        <v>1830</v>
      </c>
      <c r="J92" s="695" t="s">
        <v>147</v>
      </c>
      <c r="K92" s="695" t="s">
        <v>1495</v>
      </c>
      <c r="L92" s="695" t="s">
        <v>1496</v>
      </c>
      <c r="M92" s="695" t="s">
        <v>1497</v>
      </c>
      <c r="N92" s="695"/>
      <c r="O92" s="695" t="s">
        <v>136</v>
      </c>
      <c r="P92" s="693" t="s">
        <v>1839</v>
      </c>
      <c r="Q92" s="693"/>
      <c r="R92" s="700">
        <v>164961</v>
      </c>
      <c r="S92" s="697">
        <v>-2652452</v>
      </c>
      <c r="T92" s="697">
        <v>-2116691.2907886999</v>
      </c>
      <c r="U92" s="697">
        <v>-2288143.28534259</v>
      </c>
      <c r="V92" s="697">
        <v>-2407584.36483747</v>
      </c>
      <c r="W92" s="698"/>
      <c r="X92" s="698"/>
      <c r="Y92" s="698"/>
      <c r="Z92" s="698"/>
      <c r="AA92" s="698"/>
      <c r="AB92" s="698"/>
      <c r="AC92" s="698"/>
      <c r="AD92" s="698"/>
      <c r="AE92" s="698"/>
      <c r="AF92" s="698"/>
      <c r="AG92" s="698"/>
      <c r="AH92" s="698"/>
      <c r="AI92" s="698"/>
      <c r="AJ92" s="698"/>
      <c r="AK92" s="698"/>
      <c r="AL92" s="698"/>
      <c r="AM92" s="698"/>
      <c r="AN92" s="698"/>
      <c r="AO92" s="698"/>
      <c r="AP92" s="698"/>
      <c r="AQ92" s="698">
        <v>0</v>
      </c>
      <c r="AR92" s="698">
        <v>0</v>
      </c>
      <c r="AS92" s="698">
        <v>0</v>
      </c>
      <c r="AT92" s="699">
        <v>0</v>
      </c>
      <c r="AU92" s="699">
        <v>0</v>
      </c>
      <c r="AV92" s="699">
        <v>0</v>
      </c>
    </row>
    <row r="93" spans="2:48" s="699" customFormat="1" x14ac:dyDescent="0.25">
      <c r="B93" s="693" t="s">
        <v>234</v>
      </c>
      <c r="C93" s="693" t="s">
        <v>1828</v>
      </c>
      <c r="D93" s="694" t="s">
        <v>1840</v>
      </c>
      <c r="E93" s="695" t="s">
        <v>1641</v>
      </c>
      <c r="F93" s="695" t="s">
        <v>1642</v>
      </c>
      <c r="G93" s="695" t="s">
        <v>144</v>
      </c>
      <c r="H93" s="695" t="s">
        <v>1494</v>
      </c>
      <c r="I93" s="695" t="s">
        <v>1830</v>
      </c>
      <c r="J93" s="695" t="s">
        <v>148</v>
      </c>
      <c r="K93" s="695" t="s">
        <v>1495</v>
      </c>
      <c r="L93" s="695" t="s">
        <v>1496</v>
      </c>
      <c r="M93" s="695" t="s">
        <v>1497</v>
      </c>
      <c r="N93" s="695"/>
      <c r="O93" s="695" t="s">
        <v>136</v>
      </c>
      <c r="P93" s="693" t="s">
        <v>1841</v>
      </c>
      <c r="Q93" s="693"/>
      <c r="R93" s="700">
        <v>426735</v>
      </c>
      <c r="S93" s="697">
        <v>-2895767</v>
      </c>
      <c r="T93" s="697">
        <v>-2277693.7138118702</v>
      </c>
      <c r="U93" s="697">
        <v>-2462186.9046306401</v>
      </c>
      <c r="V93" s="697">
        <v>-2590713.0610523601</v>
      </c>
      <c r="W93" s="698"/>
      <c r="X93" s="698"/>
      <c r="Y93" s="698"/>
      <c r="Z93" s="698"/>
      <c r="AA93" s="698"/>
      <c r="AB93" s="698"/>
      <c r="AC93" s="698"/>
      <c r="AD93" s="698"/>
      <c r="AE93" s="698"/>
      <c r="AF93" s="698"/>
      <c r="AG93" s="698"/>
      <c r="AH93" s="698"/>
      <c r="AI93" s="698"/>
      <c r="AJ93" s="698"/>
      <c r="AK93" s="698"/>
      <c r="AL93" s="698"/>
      <c r="AM93" s="698"/>
      <c r="AN93" s="698"/>
      <c r="AO93" s="698"/>
      <c r="AP93" s="698"/>
      <c r="AQ93" s="698">
        <v>0</v>
      </c>
      <c r="AR93" s="698">
        <v>0</v>
      </c>
      <c r="AS93" s="698">
        <v>0</v>
      </c>
      <c r="AT93" s="699">
        <v>0</v>
      </c>
      <c r="AU93" s="699">
        <v>0</v>
      </c>
      <c r="AV93" s="699">
        <v>0</v>
      </c>
    </row>
    <row r="94" spans="2:48" x14ac:dyDescent="0.25">
      <c r="B94" s="693" t="s">
        <v>234</v>
      </c>
      <c r="C94" s="701"/>
      <c r="D94" s="771" t="s">
        <v>1888</v>
      </c>
      <c r="E94" s="702" t="s">
        <v>1641</v>
      </c>
      <c r="F94" s="702" t="s">
        <v>1642</v>
      </c>
      <c r="G94" s="702" t="s">
        <v>144</v>
      </c>
      <c r="H94" s="702" t="s">
        <v>1494</v>
      </c>
      <c r="I94" s="702" t="s">
        <v>1842</v>
      </c>
      <c r="J94" s="702" t="s">
        <v>553</v>
      </c>
      <c r="K94" s="702" t="s">
        <v>1495</v>
      </c>
      <c r="L94" s="702" t="s">
        <v>1496</v>
      </c>
      <c r="M94" s="702" t="s">
        <v>1497</v>
      </c>
      <c r="N94" s="702" t="s">
        <v>1843</v>
      </c>
      <c r="O94" s="702" t="s">
        <v>136</v>
      </c>
      <c r="P94" s="701" t="s">
        <v>1611</v>
      </c>
      <c r="Q94" s="701"/>
      <c r="R94" s="703">
        <v>0</v>
      </c>
      <c r="S94" s="704">
        <v>0</v>
      </c>
      <c r="T94" s="704">
        <v>-167075.85024</v>
      </c>
      <c r="U94" s="704">
        <v>-180608.99410944001</v>
      </c>
      <c r="V94" s="704">
        <v>-190036.78360195301</v>
      </c>
      <c r="W94" s="705" t="s">
        <v>1859</v>
      </c>
      <c r="X94" s="705"/>
      <c r="Y94" s="705"/>
      <c r="Z94" s="705"/>
      <c r="AA94" s="705"/>
      <c r="AB94" s="705"/>
      <c r="AC94" s="705"/>
      <c r="AD94" s="705"/>
      <c r="AE94" s="705"/>
      <c r="AF94" s="705"/>
      <c r="AG94" s="705"/>
      <c r="AH94" s="705"/>
      <c r="AI94" s="705"/>
      <c r="AJ94" s="705"/>
      <c r="AK94" s="705"/>
      <c r="AL94" s="705"/>
      <c r="AM94" s="705"/>
      <c r="AN94" s="705"/>
      <c r="AO94" s="705"/>
      <c r="AP94" s="705"/>
      <c r="AQ94" s="705">
        <v>0</v>
      </c>
      <c r="AR94" s="705">
        <v>0</v>
      </c>
      <c r="AS94" s="705">
        <v>0</v>
      </c>
      <c r="AT94" s="220">
        <v>0</v>
      </c>
      <c r="AU94" s="220">
        <v>0</v>
      </c>
      <c r="AV94" s="220">
        <v>0</v>
      </c>
    </row>
    <row r="95" spans="2:48" x14ac:dyDescent="0.25">
      <c r="B95" s="693" t="s">
        <v>234</v>
      </c>
      <c r="C95" s="701"/>
      <c r="D95" s="771" t="s">
        <v>1889</v>
      </c>
      <c r="E95" s="702" t="s">
        <v>1641</v>
      </c>
      <c r="F95" s="702" t="s">
        <v>1642</v>
      </c>
      <c r="G95" s="702" t="s">
        <v>144</v>
      </c>
      <c r="H95" s="702" t="s">
        <v>1494</v>
      </c>
      <c r="I95" s="702" t="s">
        <v>1842</v>
      </c>
      <c r="J95" s="702" t="s">
        <v>553</v>
      </c>
      <c r="K95" s="702" t="s">
        <v>1495</v>
      </c>
      <c r="L95" s="702" t="s">
        <v>1496</v>
      </c>
      <c r="M95" s="702" t="s">
        <v>1497</v>
      </c>
      <c r="N95" s="702" t="s">
        <v>1843</v>
      </c>
      <c r="O95" s="702" t="s">
        <v>136</v>
      </c>
      <c r="P95" s="701" t="s">
        <v>1586</v>
      </c>
      <c r="Q95" s="701"/>
      <c r="R95" s="703"/>
      <c r="S95" s="704">
        <v>0</v>
      </c>
      <c r="T95" s="704">
        <v>-4668134.4792719996</v>
      </c>
      <c r="U95" s="704">
        <v>-5046253.3720930303</v>
      </c>
      <c r="V95" s="704">
        <v>-5309667.79811629</v>
      </c>
      <c r="W95" s="705" t="s">
        <v>1859</v>
      </c>
      <c r="X95" s="705"/>
      <c r="Y95" s="705"/>
      <c r="Z95" s="705"/>
      <c r="AA95" s="705"/>
      <c r="AB95" s="705"/>
      <c r="AC95" s="705"/>
      <c r="AD95" s="705"/>
      <c r="AE95" s="705"/>
      <c r="AF95" s="705"/>
      <c r="AG95" s="705"/>
      <c r="AH95" s="705"/>
      <c r="AI95" s="705"/>
      <c r="AJ95" s="705"/>
      <c r="AK95" s="705"/>
      <c r="AL95" s="705"/>
      <c r="AM95" s="705"/>
      <c r="AN95" s="705"/>
      <c r="AO95" s="705"/>
      <c r="AP95" s="705"/>
      <c r="AQ95" s="705">
        <v>0</v>
      </c>
      <c r="AR95" s="705">
        <v>0</v>
      </c>
      <c r="AS95" s="705">
        <v>0</v>
      </c>
      <c r="AT95" s="220">
        <v>0</v>
      </c>
      <c r="AU95" s="220">
        <v>0</v>
      </c>
      <c r="AV95" s="220">
        <v>0</v>
      </c>
    </row>
    <row r="96" spans="2:48" x14ac:dyDescent="0.25">
      <c r="B96" s="693" t="s">
        <v>234</v>
      </c>
      <c r="C96" s="701"/>
      <c r="D96" s="771" t="s">
        <v>1890</v>
      </c>
      <c r="E96" s="702" t="s">
        <v>1641</v>
      </c>
      <c r="F96" s="702" t="s">
        <v>1642</v>
      </c>
      <c r="G96" s="702" t="s">
        <v>144</v>
      </c>
      <c r="H96" s="702" t="s">
        <v>1494</v>
      </c>
      <c r="I96" s="702" t="s">
        <v>1842</v>
      </c>
      <c r="J96" s="702" t="s">
        <v>553</v>
      </c>
      <c r="K96" s="702" t="s">
        <v>1495</v>
      </c>
      <c r="L96" s="702" t="s">
        <v>1496</v>
      </c>
      <c r="M96" s="702" t="s">
        <v>1497</v>
      </c>
      <c r="N96" s="702" t="s">
        <v>1843</v>
      </c>
      <c r="O96" s="702" t="s">
        <v>136</v>
      </c>
      <c r="P96" s="701" t="s">
        <v>1605</v>
      </c>
      <c r="Q96" s="701"/>
      <c r="R96" s="703"/>
      <c r="S96" s="704">
        <v>0</v>
      </c>
      <c r="T96" s="704">
        <v>-11212959.681</v>
      </c>
      <c r="U96" s="704">
        <v>-12121209.415161001</v>
      </c>
      <c r="V96" s="704">
        <v>-12753936.5466324</v>
      </c>
      <c r="W96" s="705" t="s">
        <v>1859</v>
      </c>
      <c r="X96" s="705"/>
      <c r="Y96" s="705"/>
      <c r="Z96" s="705"/>
      <c r="AA96" s="705"/>
      <c r="AB96" s="705"/>
      <c r="AC96" s="705"/>
      <c r="AD96" s="705"/>
      <c r="AE96" s="705"/>
      <c r="AF96" s="705"/>
      <c r="AG96" s="705"/>
      <c r="AH96" s="705"/>
      <c r="AI96" s="705"/>
      <c r="AJ96" s="705"/>
      <c r="AK96" s="705"/>
      <c r="AL96" s="705"/>
      <c r="AM96" s="705"/>
      <c r="AN96" s="705"/>
      <c r="AO96" s="705"/>
      <c r="AP96" s="705"/>
      <c r="AQ96" s="705">
        <v>0</v>
      </c>
      <c r="AR96" s="705">
        <v>0</v>
      </c>
      <c r="AS96" s="705">
        <v>0</v>
      </c>
      <c r="AT96" s="220">
        <v>0</v>
      </c>
      <c r="AU96" s="220">
        <v>0</v>
      </c>
      <c r="AV96" s="220">
        <v>0</v>
      </c>
    </row>
    <row r="97" spans="2:48" x14ac:dyDescent="0.25">
      <c r="B97" s="693"/>
      <c r="C97" s="701"/>
      <c r="D97" s="771" t="s">
        <v>1891</v>
      </c>
      <c r="E97" s="702"/>
      <c r="F97" s="702"/>
      <c r="G97" s="702"/>
      <c r="H97" s="702"/>
      <c r="I97" s="702"/>
      <c r="J97" s="702"/>
      <c r="K97" s="702"/>
      <c r="L97" s="702"/>
      <c r="M97" s="702"/>
      <c r="N97" s="702"/>
      <c r="O97" s="702"/>
      <c r="P97" s="701" t="s">
        <v>1862</v>
      </c>
      <c r="Q97" s="701"/>
      <c r="R97" s="703"/>
      <c r="S97" s="704">
        <v>0</v>
      </c>
      <c r="T97" s="704">
        <v>-13509295.553481899</v>
      </c>
      <c r="U97" s="704">
        <v>-14603548.493313899</v>
      </c>
      <c r="V97" s="704">
        <v>-15365853.7246649</v>
      </c>
      <c r="W97" s="705" t="s">
        <v>1859</v>
      </c>
      <c r="X97" s="705"/>
      <c r="Y97" s="705"/>
      <c r="Z97" s="705"/>
      <c r="AA97" s="705"/>
      <c r="AB97" s="705"/>
      <c r="AC97" s="705"/>
      <c r="AD97" s="705"/>
      <c r="AE97" s="705"/>
      <c r="AF97" s="705"/>
      <c r="AG97" s="705"/>
      <c r="AH97" s="705"/>
      <c r="AI97" s="705"/>
      <c r="AJ97" s="705"/>
      <c r="AK97" s="705"/>
      <c r="AL97" s="705"/>
      <c r="AM97" s="705"/>
      <c r="AN97" s="705"/>
      <c r="AO97" s="705"/>
      <c r="AP97" s="705"/>
      <c r="AQ97" s="705"/>
      <c r="AR97" s="705"/>
      <c r="AS97" s="705"/>
    </row>
    <row r="98" spans="2:48" x14ac:dyDescent="0.25">
      <c r="B98" s="693"/>
      <c r="C98" s="701"/>
      <c r="D98" s="771" t="s">
        <v>1892</v>
      </c>
      <c r="E98" s="702"/>
      <c r="F98" s="702"/>
      <c r="G98" s="702"/>
      <c r="H98" s="702"/>
      <c r="I98" s="702"/>
      <c r="J98" s="702"/>
      <c r="K98" s="702"/>
      <c r="L98" s="702"/>
      <c r="M98" s="702"/>
      <c r="N98" s="702"/>
      <c r="O98" s="702"/>
      <c r="P98" s="701" t="s">
        <v>1863</v>
      </c>
      <c r="Q98" s="701"/>
      <c r="R98" s="703"/>
      <c r="S98" s="704">
        <v>0</v>
      </c>
      <c r="T98" s="704">
        <v>-5414768.3778369399</v>
      </c>
      <c r="U98" s="704">
        <v>-5853364.6164417304</v>
      </c>
      <c r="V98" s="704">
        <v>-6158910.24941999</v>
      </c>
      <c r="W98" s="705" t="s">
        <v>1859</v>
      </c>
      <c r="X98" s="705"/>
      <c r="Y98" s="705"/>
      <c r="Z98" s="705"/>
      <c r="AA98" s="705"/>
      <c r="AB98" s="705"/>
      <c r="AC98" s="705"/>
      <c r="AD98" s="705"/>
      <c r="AE98" s="705"/>
      <c r="AF98" s="705"/>
      <c r="AG98" s="705"/>
      <c r="AH98" s="705"/>
      <c r="AI98" s="705"/>
      <c r="AJ98" s="705"/>
      <c r="AK98" s="705"/>
      <c r="AL98" s="705"/>
      <c r="AM98" s="705"/>
      <c r="AN98" s="705"/>
      <c r="AO98" s="705"/>
      <c r="AP98" s="705"/>
      <c r="AQ98" s="705"/>
      <c r="AR98" s="705"/>
      <c r="AS98" s="705"/>
    </row>
    <row r="99" spans="2:48" x14ac:dyDescent="0.25">
      <c r="B99" s="772" t="s">
        <v>234</v>
      </c>
      <c r="C99" s="772" t="s">
        <v>1680</v>
      </c>
      <c r="D99" s="773" t="s">
        <v>1681</v>
      </c>
      <c r="E99" s="774" t="s">
        <v>1641</v>
      </c>
      <c r="F99" s="774" t="s">
        <v>1642</v>
      </c>
      <c r="G99" s="774" t="s">
        <v>144</v>
      </c>
      <c r="H99" s="695" t="s">
        <v>1494</v>
      </c>
      <c r="I99" s="695" t="s">
        <v>223</v>
      </c>
      <c r="J99" s="695" t="s">
        <v>553</v>
      </c>
      <c r="K99" s="695" t="s">
        <v>1682</v>
      </c>
      <c r="L99" s="695" t="s">
        <v>1498</v>
      </c>
      <c r="M99" s="695" t="s">
        <v>1497</v>
      </c>
      <c r="N99" s="695" t="s">
        <v>1683</v>
      </c>
      <c r="O99" s="695" t="s">
        <v>136</v>
      </c>
      <c r="P99" s="772" t="s">
        <v>1684</v>
      </c>
      <c r="Q99" s="772"/>
      <c r="R99" s="696">
        <v>0</v>
      </c>
      <c r="S99" s="775">
        <v>11391512</v>
      </c>
      <c r="T99" s="775"/>
      <c r="U99" s="775"/>
      <c r="V99" s="775"/>
      <c r="W99" s="706"/>
      <c r="X99" s="706"/>
      <c r="Y99" s="706"/>
      <c r="Z99" s="706"/>
      <c r="AA99" s="706"/>
      <c r="AB99" s="706"/>
      <c r="AC99" s="706"/>
      <c r="AD99" s="706"/>
      <c r="AE99" s="706"/>
      <c r="AF99" s="706"/>
      <c r="AG99" s="706"/>
      <c r="AH99" s="706"/>
      <c r="AI99" s="706"/>
      <c r="AJ99" s="706"/>
      <c r="AK99" s="706"/>
      <c r="AL99" s="706"/>
      <c r="AM99" s="706"/>
      <c r="AN99" s="706"/>
      <c r="AO99" s="706"/>
      <c r="AP99" s="706"/>
      <c r="AQ99" s="706">
        <v>0</v>
      </c>
      <c r="AR99" s="706">
        <v>0</v>
      </c>
      <c r="AS99" s="706">
        <v>0</v>
      </c>
      <c r="AT99" s="707">
        <v>0</v>
      </c>
      <c r="AU99" s="707">
        <v>0</v>
      </c>
      <c r="AV99" s="707">
        <v>0</v>
      </c>
    </row>
    <row r="100" spans="2:48" ht="13.5" thickBot="1" x14ac:dyDescent="0.35">
      <c r="R100" s="708">
        <f>SUM(R2:R96)</f>
        <v>-199999999.99687338</v>
      </c>
      <c r="S100" s="709">
        <f>SUM(S2:S99)</f>
        <v>-2570228810.9968734</v>
      </c>
      <c r="T100" s="709">
        <f>SUM(T2:T99)</f>
        <v>-2684816551.397511</v>
      </c>
      <c r="U100" s="709">
        <f>SUM(U2:U99)</f>
        <v>-2902286692.060709</v>
      </c>
      <c r="V100" s="729">
        <f>SUM(V2:V99)</f>
        <v>-3053786057.3862762</v>
      </c>
    </row>
    <row r="101" spans="2:48" ht="13" thickTop="1" x14ac:dyDescent="0.25"/>
    <row r="102" spans="2:48" x14ac:dyDescent="0.25">
      <c r="P102" s="220" t="s">
        <v>1860</v>
      </c>
      <c r="S102" s="710" t="e">
        <f>'MSCOA - Tariff Structure'!#REF!</f>
        <v>#REF!</v>
      </c>
      <c r="T102" s="710">
        <f>'MSCOA - Tariff Structure'!Q4</f>
        <v>3276502732.2899995</v>
      </c>
      <c r="U102" s="710">
        <f>'MSCOA - Tariff Structure'!R4</f>
        <v>3832173162.7254577</v>
      </c>
      <c r="V102" s="710">
        <f>'MSCOA - Tariff Structure'!S4</f>
        <v>4299934102.3917389</v>
      </c>
    </row>
    <row r="104" spans="2:48" ht="13.5" thickBot="1" x14ac:dyDescent="0.35">
      <c r="P104" s="232" t="s">
        <v>1861</v>
      </c>
      <c r="S104" s="711" t="e">
        <f>S100+S102</f>
        <v>#REF!</v>
      </c>
      <c r="T104" s="727">
        <f>T100+T102</f>
        <v>591686180.89248848</v>
      </c>
      <c r="U104" s="727">
        <f>U100+U102</f>
        <v>929886470.66474867</v>
      </c>
      <c r="V104" s="728">
        <f>V100+V102</f>
        <v>1246148045.0054626</v>
      </c>
    </row>
    <row r="105" spans="2:48" ht="13" thickTop="1" x14ac:dyDescent="0.25"/>
    <row r="107" spans="2:48" x14ac:dyDescent="0.25">
      <c r="T107" s="710">
        <v>2665892487.4661932</v>
      </c>
    </row>
    <row r="110" spans="2:48" x14ac:dyDescent="0.25">
      <c r="T110" s="710">
        <f>T100+T107</f>
        <v>-18924063.931317806</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D67"/>
  <sheetViews>
    <sheetView topLeftCell="T45" zoomScaleNormal="100" workbookViewId="0">
      <selection activeCell="Y57" sqref="Y57"/>
    </sheetView>
  </sheetViews>
  <sheetFormatPr defaultRowHeight="14.5" outlineLevelRow="6" x14ac:dyDescent="0.35"/>
  <cols>
    <col min="1" max="1" width="11.6328125" bestFit="1" customWidth="1"/>
    <col min="2" max="2" width="9.6328125" bestFit="1" customWidth="1"/>
    <col min="3" max="3" width="2.36328125" bestFit="1" customWidth="1"/>
    <col min="4" max="15" width="3.54296875" bestFit="1" customWidth="1"/>
    <col min="16" max="16" width="5.6328125" bestFit="1" customWidth="1"/>
    <col min="17" max="17" width="19" bestFit="1" customWidth="1"/>
    <col min="18" max="18" width="24.36328125" bestFit="1" customWidth="1"/>
    <col min="19" max="19" width="31.6328125" bestFit="1" customWidth="1"/>
    <col min="20" max="20" width="10.453125" bestFit="1" customWidth="1"/>
    <col min="21" max="21" width="32.453125" customWidth="1"/>
    <col min="22" max="32" width="4.453125" customWidth="1"/>
    <col min="34" max="34" width="31.453125" bestFit="1" customWidth="1"/>
    <col min="35" max="35" width="44" bestFit="1" customWidth="1"/>
    <col min="36" max="36" width="26.36328125" bestFit="1" customWidth="1"/>
    <col min="37" max="37" width="16.54296875" bestFit="1" customWidth="1"/>
    <col min="38" max="38" width="25.36328125" bestFit="1" customWidth="1"/>
    <col min="39" max="39" width="19.36328125" bestFit="1" customWidth="1"/>
    <col min="40" max="40" width="23" bestFit="1" customWidth="1"/>
    <col min="41" max="41" width="26.453125" bestFit="1" customWidth="1"/>
    <col min="42" max="42" width="34.36328125" bestFit="1" customWidth="1"/>
    <col min="43" max="43" width="19.36328125" bestFit="1" customWidth="1"/>
    <col min="44" max="44" width="16.36328125" bestFit="1" customWidth="1"/>
    <col min="45" max="45" width="10.36328125" bestFit="1" customWidth="1"/>
    <col min="46" max="46" width="24.36328125" bestFit="1" customWidth="1"/>
    <col min="47" max="47" width="8.36328125" bestFit="1" customWidth="1"/>
    <col min="48" max="48" width="13.6328125" bestFit="1" customWidth="1"/>
    <col min="49" max="49" width="18.36328125" bestFit="1" customWidth="1"/>
    <col min="50" max="50" width="18.54296875" bestFit="1" customWidth="1"/>
    <col min="51" max="51" width="8.54296875" bestFit="1" customWidth="1"/>
    <col min="52" max="52" width="26.54296875" bestFit="1" customWidth="1"/>
    <col min="53" max="53" width="17.453125" bestFit="1" customWidth="1"/>
    <col min="54" max="54" width="13.6328125" bestFit="1" customWidth="1"/>
    <col min="55" max="55" width="8.36328125" bestFit="1" customWidth="1"/>
    <col min="56" max="56" width="13.36328125" bestFit="1" customWidth="1"/>
    <col min="57" max="57" width="9" bestFit="1" customWidth="1"/>
    <col min="58" max="58" width="20.453125" bestFit="1" customWidth="1"/>
    <col min="59" max="59" width="22.36328125" bestFit="1" customWidth="1"/>
    <col min="60" max="60" width="18.453125" bestFit="1" customWidth="1"/>
    <col min="61" max="61" width="12.6328125" bestFit="1" customWidth="1"/>
    <col min="62" max="62" width="18" bestFit="1" customWidth="1"/>
    <col min="63" max="63" width="23" bestFit="1" customWidth="1"/>
    <col min="64" max="64" width="21.54296875" bestFit="1" customWidth="1"/>
    <col min="65" max="65" width="14.36328125" bestFit="1" customWidth="1"/>
    <col min="66" max="66" width="16.54296875" bestFit="1" customWidth="1"/>
    <col min="67" max="67" width="17.453125" bestFit="1" customWidth="1"/>
    <col min="68" max="68" width="14.36328125" bestFit="1" customWidth="1"/>
    <col min="69" max="69" width="15" bestFit="1" customWidth="1"/>
    <col min="70" max="70" width="15.54296875" bestFit="1" customWidth="1"/>
    <col min="71" max="71" width="15.6328125" bestFit="1" customWidth="1"/>
    <col min="72" max="73" width="12" bestFit="1" customWidth="1"/>
    <col min="74" max="74" width="15.54296875" bestFit="1" customWidth="1"/>
    <col min="75" max="75" width="20" bestFit="1" customWidth="1"/>
    <col min="76" max="76" width="15.36328125" bestFit="1" customWidth="1"/>
    <col min="77" max="77" width="22.54296875" bestFit="1" customWidth="1"/>
    <col min="78" max="78" width="22.36328125" bestFit="1" customWidth="1"/>
    <col min="79" max="79" width="18.54296875" bestFit="1" customWidth="1"/>
    <col min="80" max="80" width="42.6328125" bestFit="1" customWidth="1"/>
    <col min="81" max="81" width="21.36328125" bestFit="1" customWidth="1"/>
    <col min="82" max="82" width="20.6328125" bestFit="1" customWidth="1"/>
    <col min="83" max="83" width="22.36328125" bestFit="1" customWidth="1"/>
    <col min="84" max="84" width="13.36328125" bestFit="1" customWidth="1"/>
    <col min="85" max="85" width="15.6328125" bestFit="1" customWidth="1"/>
    <col min="86" max="86" width="9.6328125" bestFit="1" customWidth="1"/>
    <col min="87" max="87" width="12.36328125" bestFit="1" customWidth="1"/>
    <col min="88" max="88" width="12" bestFit="1" customWidth="1"/>
    <col min="89" max="89" width="8.36328125" bestFit="1" customWidth="1"/>
    <col min="90" max="90" width="17.6328125" bestFit="1" customWidth="1"/>
    <col min="91" max="91" width="8.36328125" bestFit="1" customWidth="1"/>
    <col min="92" max="94" width="12" bestFit="1" customWidth="1"/>
    <col min="95" max="95" width="21" bestFit="1" customWidth="1"/>
    <col min="96" max="96" width="20.453125" bestFit="1" customWidth="1"/>
    <col min="97" max="97" width="12" bestFit="1" customWidth="1"/>
    <col min="98" max="98" width="8.36328125" bestFit="1" customWidth="1"/>
    <col min="99" max="99" width="11.54296875" bestFit="1" customWidth="1"/>
    <col min="100" max="100" width="8.36328125" bestFit="1" customWidth="1"/>
    <col min="101" max="101" width="36.36328125" bestFit="1" customWidth="1"/>
    <col min="102" max="102" width="13.54296875" bestFit="1" customWidth="1"/>
    <col min="103" max="103" width="8.36328125" bestFit="1" customWidth="1"/>
    <col min="104" max="104" width="38.54296875" bestFit="1" customWidth="1"/>
    <col min="105" max="105" width="27.36328125" bestFit="1" customWidth="1"/>
    <col min="106" max="106" width="56.36328125" bestFit="1" customWidth="1"/>
    <col min="107" max="107" width="15.6328125" bestFit="1" customWidth="1"/>
    <col min="108" max="108" width="29.6328125" bestFit="1" customWidth="1"/>
    <col min="109" max="109" width="24.54296875" bestFit="1" customWidth="1"/>
    <col min="110" max="110" width="31.6328125" bestFit="1" customWidth="1"/>
    <col min="111" max="111" width="23" bestFit="1" customWidth="1"/>
    <col min="112" max="112" width="27.6328125" bestFit="1" customWidth="1"/>
    <col min="113" max="113" width="14.6328125" bestFit="1" customWidth="1"/>
    <col min="114" max="114" width="24.453125" bestFit="1" customWidth="1"/>
    <col min="115" max="115" width="22.6328125" bestFit="1" customWidth="1"/>
    <col min="116" max="116" width="33.54296875" bestFit="1" customWidth="1"/>
    <col min="117" max="117" width="45.54296875" bestFit="1" customWidth="1"/>
    <col min="118" max="118" width="8.36328125" bestFit="1" customWidth="1"/>
    <col min="119" max="119" width="14.36328125" bestFit="1" customWidth="1"/>
    <col min="120" max="121" width="12" bestFit="1" customWidth="1"/>
    <col min="122" max="122" width="15.36328125" bestFit="1" customWidth="1"/>
    <col min="123" max="123" width="12" bestFit="1" customWidth="1"/>
    <col min="124" max="124" width="23" bestFit="1" customWidth="1"/>
    <col min="125" max="125" width="14.36328125" bestFit="1" customWidth="1"/>
    <col min="126" max="126" width="19.36328125" bestFit="1" customWidth="1"/>
    <col min="127" max="127" width="25.36328125" bestFit="1" customWidth="1"/>
    <col min="128" max="128" width="29" bestFit="1" customWidth="1"/>
    <col min="129" max="129" width="30.453125" bestFit="1" customWidth="1"/>
    <col min="130" max="130" width="12.453125" bestFit="1" customWidth="1"/>
    <col min="131" max="131" width="32.6328125" bestFit="1" customWidth="1"/>
    <col min="132" max="132" width="32.54296875" bestFit="1" customWidth="1"/>
    <col min="133" max="133" width="25.6328125" bestFit="1" customWidth="1"/>
    <col min="134" max="134" width="14.453125" bestFit="1" customWidth="1"/>
    <col min="135" max="135" width="34.36328125" bestFit="1" customWidth="1"/>
    <col min="136" max="136" width="30" bestFit="1" customWidth="1"/>
    <col min="137" max="137" width="13.453125" bestFit="1" customWidth="1"/>
    <col min="138" max="138" width="12" bestFit="1" customWidth="1"/>
    <col min="139" max="139" width="29.6328125" bestFit="1" customWidth="1"/>
    <col min="140" max="140" width="17.54296875" bestFit="1" customWidth="1"/>
    <col min="141" max="141" width="13.36328125" bestFit="1" customWidth="1"/>
    <col min="142" max="142" width="8.36328125" bestFit="1" customWidth="1"/>
    <col min="143" max="143" width="12" bestFit="1" customWidth="1"/>
    <col min="144" max="144" width="22" bestFit="1" customWidth="1"/>
    <col min="145" max="146" width="12" bestFit="1" customWidth="1"/>
    <col min="147" max="147" width="8.36328125" bestFit="1" customWidth="1"/>
    <col min="148" max="148" width="15.36328125" bestFit="1" customWidth="1"/>
    <col min="149" max="149" width="12.36328125" bestFit="1" customWidth="1"/>
    <col min="150" max="150" width="12" bestFit="1" customWidth="1"/>
    <col min="151" max="151" width="8.36328125" bestFit="1" customWidth="1"/>
    <col min="152" max="152" width="53" bestFit="1" customWidth="1"/>
    <col min="153" max="153" width="43.36328125" bestFit="1" customWidth="1"/>
    <col min="154" max="154" width="91" bestFit="1" customWidth="1"/>
    <col min="155" max="155" width="72.36328125" bestFit="1" customWidth="1"/>
    <col min="156" max="156" width="4.6328125" bestFit="1" customWidth="1"/>
    <col min="157" max="157" width="7.6328125" bestFit="1" customWidth="1"/>
    <col min="158" max="158" width="5.6328125" bestFit="1" customWidth="1"/>
    <col min="159" max="159" width="4.6328125" bestFit="1" customWidth="1"/>
    <col min="160" max="160" width="18" bestFit="1" customWidth="1"/>
  </cols>
  <sheetData>
    <row r="1" spans="1:160" s="302" customFormat="1" ht="14.25" customHeight="1" x14ac:dyDescent="0.35">
      <c r="A1" s="1167" t="s">
        <v>1161</v>
      </c>
      <c r="B1" s="1168"/>
      <c r="C1" s="1168"/>
      <c r="D1" s="1168"/>
      <c r="E1" s="1168"/>
      <c r="F1" s="1168"/>
      <c r="G1" s="1168"/>
      <c r="H1" s="1168"/>
      <c r="I1" s="1168"/>
      <c r="J1" s="1168"/>
      <c r="K1" s="1168"/>
      <c r="L1" s="1168"/>
      <c r="M1" s="1168"/>
      <c r="N1" s="1168"/>
      <c r="O1" s="1168"/>
      <c r="P1" s="1168"/>
      <c r="Q1" s="1168"/>
      <c r="R1" s="1168"/>
      <c r="S1" s="1168"/>
      <c r="T1" s="1168"/>
      <c r="U1" s="1168"/>
      <c r="V1" s="1168"/>
      <c r="W1" s="1168"/>
      <c r="X1" s="1168"/>
      <c r="Y1" s="1168"/>
      <c r="Z1" s="1168"/>
      <c r="AA1" s="1168"/>
      <c r="AB1" s="1168"/>
      <c r="AC1" s="1168"/>
      <c r="AD1" s="1168"/>
      <c r="AE1" s="1168"/>
      <c r="AF1" s="1168"/>
      <c r="AG1" s="1168"/>
      <c r="AH1" s="1168"/>
      <c r="AI1" s="1168"/>
      <c r="AJ1" s="1168"/>
      <c r="AK1" s="1168"/>
      <c r="AL1" s="1168"/>
      <c r="AM1" s="1168"/>
      <c r="AN1" s="1168"/>
      <c r="AO1" s="1168"/>
      <c r="AP1" s="1168"/>
      <c r="AQ1" s="1168"/>
      <c r="AR1" s="1168"/>
      <c r="AS1" s="1168"/>
      <c r="AT1" s="1168"/>
      <c r="AU1" s="1168"/>
      <c r="AV1" s="1168"/>
      <c r="AW1" s="1168"/>
      <c r="AX1" s="1168"/>
      <c r="AY1" s="1168"/>
      <c r="AZ1" s="1168"/>
      <c r="BA1" s="1168"/>
      <c r="BB1" s="1168"/>
      <c r="BC1" s="1168"/>
      <c r="BD1" s="1168"/>
      <c r="BE1" s="1168"/>
      <c r="BF1" s="1168"/>
      <c r="BG1" s="1168"/>
      <c r="BH1" s="1168"/>
      <c r="BI1" s="1168"/>
      <c r="BJ1" s="1168"/>
      <c r="BK1" s="1168"/>
      <c r="BL1" s="1168"/>
      <c r="BM1" s="1168"/>
      <c r="BN1" s="1168"/>
      <c r="BO1" s="299"/>
      <c r="BP1" s="299"/>
      <c r="BQ1" s="299"/>
      <c r="BR1" s="299"/>
      <c r="BS1" s="299"/>
      <c r="BT1" s="299"/>
      <c r="BU1" s="299"/>
      <c r="BV1" s="299"/>
      <c r="BW1" s="299"/>
      <c r="BX1" s="299"/>
      <c r="BY1" s="299"/>
      <c r="BZ1" s="299"/>
      <c r="CA1" s="299"/>
      <c r="CB1" s="299"/>
      <c r="CC1" s="299"/>
      <c r="CD1" s="299"/>
      <c r="CE1" s="299"/>
      <c r="CF1" s="299"/>
      <c r="CG1" s="299"/>
      <c r="CH1" s="299"/>
      <c r="CI1" s="299"/>
      <c r="CJ1" s="299"/>
      <c r="CK1" s="299"/>
      <c r="CL1" s="300"/>
      <c r="CM1" s="300"/>
      <c r="CN1" s="300"/>
      <c r="CO1" s="300"/>
      <c r="CP1" s="300"/>
      <c r="CQ1" s="300"/>
      <c r="CR1" s="301"/>
      <c r="CS1" s="300"/>
      <c r="CT1" s="300"/>
      <c r="CU1" s="300"/>
      <c r="CV1" s="300"/>
      <c r="CW1" s="300"/>
      <c r="CX1" s="300"/>
      <c r="CY1" s="300"/>
      <c r="CZ1" s="300"/>
      <c r="DA1" s="300"/>
      <c r="DB1" s="300"/>
      <c r="DC1" s="300"/>
      <c r="DD1" s="300"/>
      <c r="DE1" s="300"/>
      <c r="DF1" s="300"/>
      <c r="DG1" s="300"/>
      <c r="DH1" s="300"/>
      <c r="DI1" s="300"/>
      <c r="DJ1" s="300"/>
      <c r="DK1" s="300"/>
      <c r="DL1" s="300"/>
      <c r="DM1" s="300"/>
      <c r="DN1" s="300"/>
      <c r="DO1" s="300"/>
      <c r="DP1" s="300"/>
      <c r="DQ1" s="300"/>
      <c r="DR1" s="300"/>
      <c r="DS1" s="300"/>
      <c r="DT1" s="300"/>
      <c r="DU1" s="300"/>
      <c r="DV1" s="300"/>
      <c r="DW1" s="300"/>
      <c r="DX1" s="300"/>
      <c r="DY1" s="300"/>
      <c r="DZ1" s="300"/>
      <c r="EA1" s="300"/>
      <c r="EB1" s="300"/>
      <c r="EC1" s="300"/>
      <c r="ED1" s="300"/>
      <c r="EE1" s="300"/>
      <c r="EF1" s="300"/>
      <c r="EG1" s="300"/>
      <c r="EH1" s="300"/>
      <c r="EI1" s="300"/>
      <c r="EJ1" s="300"/>
      <c r="EK1" s="300"/>
      <c r="EL1" s="300"/>
      <c r="EM1" s="300"/>
      <c r="EN1" s="300"/>
      <c r="EO1" s="300"/>
      <c r="EP1" s="300"/>
      <c r="EQ1" s="300"/>
      <c r="ER1" s="300"/>
      <c r="ES1" s="300"/>
      <c r="ET1" s="300"/>
      <c r="EU1" s="300"/>
      <c r="EV1" s="300"/>
      <c r="EW1" s="300"/>
      <c r="EX1" s="300"/>
      <c r="EY1" s="300"/>
      <c r="EZ1" s="300"/>
      <c r="FA1" s="300"/>
      <c r="FB1" s="300"/>
      <c r="FC1" s="300"/>
      <c r="FD1" s="300"/>
    </row>
    <row r="2" spans="1:160" s="302" customFormat="1" ht="18" customHeight="1" x14ac:dyDescent="0.35">
      <c r="A2" s="1169" t="s">
        <v>143</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c r="AB2" s="1170"/>
      <c r="AC2" s="1170"/>
      <c r="AD2" s="1170"/>
      <c r="AE2" s="1170"/>
      <c r="AF2" s="1170"/>
      <c r="AG2" s="1170"/>
      <c r="AH2" s="1170"/>
      <c r="AI2" s="1170"/>
      <c r="AJ2" s="1170"/>
      <c r="AK2" s="1170"/>
      <c r="AL2" s="1170"/>
      <c r="AM2" s="1170"/>
      <c r="AN2" s="1170"/>
      <c r="AO2" s="1170"/>
      <c r="AP2" s="1170"/>
      <c r="AQ2" s="1170"/>
      <c r="AR2" s="1170"/>
      <c r="AS2" s="1170"/>
      <c r="AT2" s="1170"/>
      <c r="AU2" s="1170"/>
      <c r="AV2" s="1170"/>
      <c r="AW2" s="1170"/>
      <c r="AX2" s="1170"/>
      <c r="AY2" s="1170"/>
      <c r="AZ2" s="1170"/>
      <c r="BA2" s="1170"/>
      <c r="BB2" s="1170"/>
      <c r="BC2" s="1170"/>
      <c r="BD2" s="1170"/>
      <c r="BE2" s="1170"/>
      <c r="BF2" s="1170"/>
      <c r="BG2" s="1170"/>
      <c r="BH2" s="1170"/>
      <c r="BI2" s="1170"/>
      <c r="BJ2" s="1170"/>
      <c r="BK2" s="1170"/>
      <c r="BL2" s="1170"/>
      <c r="BM2" s="1170"/>
      <c r="BN2" s="1170"/>
      <c r="BO2" s="299"/>
      <c r="BP2" s="299"/>
      <c r="BQ2" s="299"/>
      <c r="BR2" s="299"/>
      <c r="BS2" s="299"/>
      <c r="BT2" s="299"/>
      <c r="BU2" s="299"/>
      <c r="BV2" s="299"/>
      <c r="BW2" s="299"/>
      <c r="BX2" s="299"/>
      <c r="BY2" s="299"/>
      <c r="BZ2" s="299"/>
      <c r="CA2" s="299"/>
      <c r="CB2" s="299"/>
      <c r="CC2" s="299"/>
      <c r="CD2" s="299"/>
      <c r="CE2" s="299"/>
      <c r="CF2" s="299"/>
      <c r="CG2" s="299"/>
      <c r="CH2" s="299"/>
      <c r="CI2" s="299"/>
      <c r="CJ2" s="299"/>
      <c r="CK2" s="299"/>
      <c r="CL2" s="300"/>
      <c r="CM2" s="300"/>
      <c r="CN2" s="300"/>
      <c r="CO2" s="300"/>
      <c r="CP2" s="300"/>
      <c r="CQ2" s="300"/>
      <c r="CR2" s="301"/>
      <c r="CS2" s="300"/>
      <c r="CT2" s="300"/>
      <c r="CU2" s="300"/>
      <c r="CV2" s="300"/>
      <c r="CW2" s="300"/>
      <c r="CX2" s="300"/>
      <c r="CY2" s="300"/>
      <c r="CZ2" s="300"/>
      <c r="DA2" s="300"/>
      <c r="DB2" s="300"/>
      <c r="DC2" s="300"/>
      <c r="DD2" s="300"/>
      <c r="DE2" s="300"/>
      <c r="DF2" s="300"/>
      <c r="DG2" s="300"/>
      <c r="DH2" s="300"/>
      <c r="DI2" s="300"/>
      <c r="DJ2" s="300"/>
      <c r="DK2" s="300"/>
      <c r="DL2" s="300"/>
      <c r="DM2" s="300"/>
      <c r="DN2" s="300"/>
      <c r="DO2" s="300"/>
      <c r="DP2" s="300"/>
      <c r="DQ2" s="300"/>
      <c r="DR2" s="300"/>
      <c r="DS2" s="300"/>
      <c r="DT2" s="300"/>
      <c r="DU2" s="300"/>
      <c r="DV2" s="300"/>
      <c r="DW2" s="300"/>
      <c r="DX2" s="300"/>
      <c r="DY2" s="300"/>
      <c r="DZ2" s="300"/>
      <c r="EA2" s="300"/>
      <c r="EB2" s="300"/>
      <c r="EC2" s="300"/>
      <c r="ED2" s="300"/>
      <c r="EE2" s="300"/>
      <c r="EF2" s="300"/>
      <c r="EG2" s="300"/>
      <c r="EH2" s="300"/>
      <c r="EI2" s="300"/>
      <c r="EJ2" s="300"/>
      <c r="EK2" s="300"/>
      <c r="EL2" s="300"/>
      <c r="EM2" s="300"/>
      <c r="EN2" s="300"/>
      <c r="EO2" s="300"/>
      <c r="EP2" s="300"/>
      <c r="EQ2" s="300"/>
      <c r="ER2" s="300"/>
      <c r="ES2" s="300"/>
      <c r="ET2" s="300"/>
      <c r="EU2" s="300"/>
      <c r="EV2" s="300"/>
      <c r="EW2" s="300"/>
      <c r="EX2" s="300"/>
      <c r="EY2" s="300"/>
      <c r="EZ2" s="300"/>
      <c r="FA2" s="300"/>
      <c r="FB2" s="300"/>
      <c r="FC2" s="300"/>
      <c r="FD2" s="300"/>
    </row>
    <row r="3" spans="1:160" s="16" customFormat="1" ht="13.5" customHeight="1" x14ac:dyDescent="0.25">
      <c r="A3" s="1171" t="s">
        <v>4</v>
      </c>
      <c r="B3" s="1172"/>
      <c r="C3" s="1172"/>
      <c r="D3" s="1172"/>
      <c r="E3" s="1172"/>
      <c r="F3" s="1172"/>
      <c r="G3" s="1172"/>
      <c r="H3" s="1172"/>
      <c r="I3" s="1172"/>
      <c r="J3" s="1172"/>
      <c r="K3" s="1172"/>
      <c r="L3" s="1172"/>
      <c r="M3" s="1172"/>
      <c r="N3" s="1172"/>
      <c r="O3" s="1172"/>
      <c r="P3" s="1172"/>
      <c r="Q3" s="1172"/>
      <c r="R3" s="1172"/>
      <c r="S3" s="1172"/>
      <c r="T3" s="1173"/>
      <c r="U3" s="1177" t="s">
        <v>0</v>
      </c>
      <c r="V3" s="1171" t="s">
        <v>5</v>
      </c>
      <c r="W3" s="1172"/>
      <c r="X3" s="1172"/>
      <c r="Y3" s="1172"/>
      <c r="Z3" s="1172"/>
      <c r="AA3" s="1172"/>
      <c r="AB3" s="1172"/>
      <c r="AC3" s="1172"/>
      <c r="AD3" s="1172"/>
      <c r="AE3" s="1172"/>
      <c r="AF3" s="1172"/>
      <c r="AG3" s="1173"/>
      <c r="AH3" s="1181" t="s">
        <v>1162</v>
      </c>
      <c r="AI3" s="1182" t="s">
        <v>1163</v>
      </c>
      <c r="AJ3" s="1183"/>
      <c r="AK3" s="1183"/>
      <c r="AL3" s="1183"/>
      <c r="AM3" s="1183"/>
      <c r="AN3" s="1183"/>
      <c r="AO3" s="1183"/>
      <c r="AP3" s="1183"/>
      <c r="AQ3" s="1183"/>
      <c r="AR3" s="1183"/>
      <c r="AS3" s="1183"/>
      <c r="AT3" s="1183"/>
      <c r="AU3" s="1183"/>
      <c r="AV3" s="1183"/>
      <c r="AW3" s="1183"/>
      <c r="AX3" s="1183"/>
      <c r="AY3" s="1183"/>
      <c r="AZ3" s="1183"/>
      <c r="BA3" s="1183"/>
      <c r="BB3" s="1183"/>
      <c r="BC3" s="1183"/>
      <c r="BD3" s="1183"/>
      <c r="BE3" s="1183"/>
      <c r="BF3" s="1183"/>
      <c r="BG3" s="1183"/>
      <c r="BH3" s="1183"/>
      <c r="BI3" s="1183"/>
      <c r="BJ3" s="1183"/>
      <c r="BK3" s="1183"/>
      <c r="BL3" s="1183"/>
      <c r="BM3" s="1183"/>
      <c r="BN3" s="1183"/>
      <c r="BO3" s="1183"/>
      <c r="BP3" s="1183"/>
      <c r="BQ3" s="1183"/>
      <c r="BR3" s="1183"/>
      <c r="BS3" s="1183"/>
      <c r="BT3" s="1183"/>
      <c r="BU3" s="1183"/>
      <c r="BV3" s="1183"/>
      <c r="BW3" s="1183"/>
      <c r="BX3" s="1183"/>
      <c r="BY3" s="1183"/>
      <c r="BZ3" s="1183"/>
      <c r="CA3" s="1183"/>
      <c r="CB3" s="1183"/>
      <c r="CC3" s="1183"/>
      <c r="CD3" s="1183"/>
      <c r="CE3" s="1183"/>
      <c r="CF3" s="1183"/>
      <c r="CG3" s="1183"/>
      <c r="CH3" s="1183"/>
      <c r="CI3" s="1183"/>
      <c r="CJ3" s="1183"/>
      <c r="CK3" s="1183"/>
      <c r="CL3" s="1183"/>
      <c r="CM3" s="1183"/>
      <c r="CN3" s="1183"/>
      <c r="CO3" s="1183"/>
      <c r="CP3" s="1183"/>
      <c r="CQ3" s="1183"/>
      <c r="CR3" s="1183"/>
      <c r="CS3" s="1183"/>
      <c r="CT3" s="1183"/>
      <c r="CU3" s="1183"/>
      <c r="CV3" s="1183"/>
      <c r="CW3" s="1183"/>
      <c r="CX3" s="1183"/>
      <c r="CY3" s="1183"/>
      <c r="CZ3" s="1183"/>
      <c r="DA3" s="1183"/>
      <c r="DB3" s="1183"/>
      <c r="DC3" s="1183"/>
      <c r="DD3" s="1183"/>
      <c r="DE3" s="1183"/>
      <c r="DF3" s="1183"/>
      <c r="DG3" s="1183"/>
      <c r="DH3" s="1183"/>
      <c r="DI3" s="1183"/>
      <c r="DJ3" s="1183"/>
      <c r="DK3" s="1183"/>
      <c r="DL3" s="1183"/>
      <c r="DM3" s="1183"/>
      <c r="DN3" s="1183"/>
      <c r="DO3" s="1183"/>
      <c r="DP3" s="1183"/>
      <c r="DQ3" s="1183"/>
      <c r="DR3" s="1183"/>
      <c r="DS3" s="1183"/>
      <c r="DT3" s="1183"/>
      <c r="DU3" s="1183"/>
      <c r="DV3" s="1183"/>
      <c r="DW3" s="1183"/>
      <c r="DX3" s="1183"/>
      <c r="DY3" s="1183"/>
      <c r="DZ3" s="1183"/>
      <c r="EA3" s="1183"/>
      <c r="EB3" s="1183"/>
      <c r="EC3" s="1183"/>
      <c r="ED3" s="1183"/>
      <c r="EE3" s="1183"/>
      <c r="EF3" s="1183"/>
      <c r="EG3" s="1183"/>
      <c r="EH3" s="1183"/>
      <c r="EI3" s="1183"/>
      <c r="EJ3" s="1183"/>
      <c r="EK3" s="1183"/>
      <c r="EL3" s="1183"/>
      <c r="EM3" s="1183"/>
      <c r="EN3" s="1183"/>
      <c r="EO3" s="1183"/>
      <c r="EP3" s="1183"/>
      <c r="EQ3" s="1183"/>
      <c r="ER3" s="1183"/>
      <c r="ES3" s="1183"/>
      <c r="ET3" s="1183"/>
      <c r="EU3" s="1184"/>
      <c r="EV3" s="1193" t="s">
        <v>1164</v>
      </c>
      <c r="EW3" s="1193"/>
      <c r="EX3" s="1193"/>
      <c r="EY3" s="1193"/>
      <c r="EZ3" s="1193"/>
      <c r="FA3" s="1193"/>
      <c r="FB3" s="1193"/>
      <c r="FC3" s="1193"/>
      <c r="FD3" s="1177" t="s">
        <v>1165</v>
      </c>
    </row>
    <row r="4" spans="1:160" s="16" customFormat="1" ht="13.5" customHeight="1" x14ac:dyDescent="0.25">
      <c r="A4" s="1174"/>
      <c r="B4" s="1175"/>
      <c r="C4" s="1175"/>
      <c r="D4" s="1175"/>
      <c r="E4" s="1175"/>
      <c r="F4" s="1175"/>
      <c r="G4" s="1175"/>
      <c r="H4" s="1175"/>
      <c r="I4" s="1175"/>
      <c r="J4" s="1175"/>
      <c r="K4" s="1175"/>
      <c r="L4" s="1175"/>
      <c r="M4" s="1175"/>
      <c r="N4" s="1175"/>
      <c r="O4" s="1175"/>
      <c r="P4" s="1175"/>
      <c r="Q4" s="1175"/>
      <c r="R4" s="1175"/>
      <c r="S4" s="1175"/>
      <c r="T4" s="1176"/>
      <c r="U4" s="1178"/>
      <c r="V4" s="1174"/>
      <c r="W4" s="1175"/>
      <c r="X4" s="1175"/>
      <c r="Y4" s="1175"/>
      <c r="Z4" s="1175"/>
      <c r="AA4" s="1175"/>
      <c r="AB4" s="1175"/>
      <c r="AC4" s="1175"/>
      <c r="AD4" s="1175"/>
      <c r="AE4" s="1175"/>
      <c r="AF4" s="1175"/>
      <c r="AG4" s="1176"/>
      <c r="AH4" s="1179"/>
      <c r="AI4" s="1195" t="s">
        <v>1166</v>
      </c>
      <c r="AJ4" s="1196"/>
      <c r="AK4" s="1196"/>
      <c r="AL4" s="1196"/>
      <c r="AM4" s="1196"/>
      <c r="AN4" s="1196"/>
      <c r="AO4" s="1196"/>
      <c r="AP4" s="1196"/>
      <c r="AQ4" s="1196"/>
      <c r="AR4" s="1196"/>
      <c r="AS4" s="1196"/>
      <c r="AT4" s="1196"/>
      <c r="AU4" s="1196"/>
      <c r="AV4" s="1196"/>
      <c r="AW4" s="1196"/>
      <c r="AX4" s="1196"/>
      <c r="AY4" s="1196"/>
      <c r="AZ4" s="1196"/>
      <c r="BA4" s="1196"/>
      <c r="BB4" s="1196"/>
      <c r="BC4" s="1196"/>
      <c r="BD4" s="1196"/>
      <c r="BE4" s="1196"/>
      <c r="BF4" s="1196"/>
      <c r="BG4" s="1197"/>
      <c r="BH4" s="1185" t="s">
        <v>95</v>
      </c>
      <c r="BI4" s="1185"/>
      <c r="BJ4" s="1185"/>
      <c r="BK4" s="1185" t="s">
        <v>1167</v>
      </c>
      <c r="BL4" s="1185"/>
      <c r="BM4" s="1185"/>
      <c r="BN4" s="1185"/>
      <c r="BO4" s="1185"/>
      <c r="BP4" s="1185"/>
      <c r="BQ4" s="1185"/>
      <c r="BR4" s="1198" t="s">
        <v>1168</v>
      </c>
      <c r="BS4" s="1198"/>
      <c r="BT4" s="1185" t="s">
        <v>1169</v>
      </c>
      <c r="BU4" s="1185"/>
      <c r="BV4" s="1185"/>
      <c r="BW4" s="1185"/>
      <c r="BX4" s="1185"/>
      <c r="BY4" s="1185"/>
      <c r="BZ4" s="1185"/>
      <c r="CA4" s="1185"/>
      <c r="CB4" s="1185"/>
      <c r="CC4" s="1185"/>
      <c r="CD4" s="1185"/>
      <c r="CE4" s="1185"/>
      <c r="CF4" s="1185"/>
      <c r="CG4" s="1185" t="s">
        <v>1170</v>
      </c>
      <c r="CH4" s="1185"/>
      <c r="CI4" s="1185"/>
      <c r="CJ4" s="1185" t="s">
        <v>1171</v>
      </c>
      <c r="CK4" s="1185"/>
      <c r="CL4" s="1185" t="s">
        <v>1172</v>
      </c>
      <c r="CM4" s="1185"/>
      <c r="CN4" s="1185" t="s">
        <v>110</v>
      </c>
      <c r="CO4" s="1185"/>
      <c r="CP4" s="1185"/>
      <c r="CQ4" s="1185"/>
      <c r="CR4" s="1185"/>
      <c r="CS4" s="1185"/>
      <c r="CT4" s="1185"/>
      <c r="CU4" s="1185"/>
      <c r="CV4" s="1185"/>
      <c r="CW4" s="1185"/>
      <c r="CX4" s="1185"/>
      <c r="CY4" s="1185"/>
      <c r="CZ4" s="1186" t="s">
        <v>1173</v>
      </c>
      <c r="DA4" s="1187"/>
      <c r="DB4" s="1187"/>
      <c r="DC4" s="1187"/>
      <c r="DD4" s="1187"/>
      <c r="DE4" s="1188"/>
      <c r="DF4" s="1186" t="s">
        <v>1174</v>
      </c>
      <c r="DG4" s="1187"/>
      <c r="DH4" s="1187"/>
      <c r="DI4" s="1187"/>
      <c r="DJ4" s="1187"/>
      <c r="DK4" s="1187"/>
      <c r="DL4" s="1187"/>
      <c r="DM4" s="1187"/>
      <c r="DN4" s="1188"/>
      <c r="DO4" s="1185" t="s">
        <v>1175</v>
      </c>
      <c r="DP4" s="1185"/>
      <c r="DQ4" s="1185"/>
      <c r="DR4" s="1185"/>
      <c r="DS4" s="1185"/>
      <c r="DT4" s="1185"/>
      <c r="DU4" s="1185"/>
      <c r="DV4" s="1185"/>
      <c r="DW4" s="1185"/>
      <c r="DX4" s="1185" t="s">
        <v>1176</v>
      </c>
      <c r="DY4" s="1185"/>
      <c r="DZ4" s="1185"/>
      <c r="EA4" s="1185"/>
      <c r="EB4" s="1185"/>
      <c r="EC4" s="1185"/>
      <c r="ED4" s="1185"/>
      <c r="EE4" s="1185"/>
      <c r="EF4" s="1185"/>
      <c r="EG4" s="1185"/>
      <c r="EH4" s="1185" t="s">
        <v>1177</v>
      </c>
      <c r="EI4" s="1185"/>
      <c r="EJ4" s="1185"/>
      <c r="EK4" s="1185"/>
      <c r="EL4" s="1185"/>
      <c r="EM4" s="1186" t="s">
        <v>1178</v>
      </c>
      <c r="EN4" s="1187"/>
      <c r="EO4" s="1187"/>
      <c r="EP4" s="1187"/>
      <c r="EQ4" s="1188"/>
      <c r="ER4" s="1185" t="s">
        <v>1179</v>
      </c>
      <c r="ES4" s="1185"/>
      <c r="ET4" s="1185"/>
      <c r="EU4" s="1186"/>
      <c r="EV4" s="1193"/>
      <c r="EW4" s="1193"/>
      <c r="EX4" s="1193"/>
      <c r="EY4" s="1193"/>
      <c r="EZ4" s="1193"/>
      <c r="FA4" s="1193"/>
      <c r="FB4" s="1193"/>
      <c r="FC4" s="1193"/>
      <c r="FD4" s="1194"/>
    </row>
    <row r="5" spans="1:160" s="306" customFormat="1" ht="16.5" customHeight="1" x14ac:dyDescent="0.35">
      <c r="A5" s="1181" t="s">
        <v>1</v>
      </c>
      <c r="B5" s="1181" t="s">
        <v>125</v>
      </c>
      <c r="C5" s="1189" t="s">
        <v>153</v>
      </c>
      <c r="D5" s="1190"/>
      <c r="E5" s="1190"/>
      <c r="F5" s="1190"/>
      <c r="G5" s="1190"/>
      <c r="H5" s="1190"/>
      <c r="I5" s="1190"/>
      <c r="J5" s="1190"/>
      <c r="K5" s="1190"/>
      <c r="L5" s="1190"/>
      <c r="M5" s="1190"/>
      <c r="N5" s="1190"/>
      <c r="O5" s="1191"/>
      <c r="P5" s="1181" t="s">
        <v>3</v>
      </c>
      <c r="Q5" s="1181" t="s">
        <v>118</v>
      </c>
      <c r="R5" s="1181" t="s">
        <v>119</v>
      </c>
      <c r="S5" s="1181" t="s">
        <v>154</v>
      </c>
      <c r="T5" s="1181" t="s">
        <v>1180</v>
      </c>
      <c r="U5" s="1179"/>
      <c r="V5" s="1192">
        <v>1</v>
      </c>
      <c r="W5" s="1192">
        <v>2</v>
      </c>
      <c r="X5" s="1192">
        <v>3</v>
      </c>
      <c r="Y5" s="1192">
        <v>4</v>
      </c>
      <c r="Z5" s="1199">
        <v>5</v>
      </c>
      <c r="AA5" s="1192">
        <v>6</v>
      </c>
      <c r="AB5" s="1192">
        <v>7</v>
      </c>
      <c r="AC5" s="1199">
        <v>8</v>
      </c>
      <c r="AD5" s="1192">
        <v>9</v>
      </c>
      <c r="AE5" s="1192">
        <v>10</v>
      </c>
      <c r="AF5" s="1192">
        <v>11</v>
      </c>
      <c r="AG5" s="1192">
        <v>12</v>
      </c>
      <c r="AH5" s="1179"/>
      <c r="AI5" s="303" t="s">
        <v>1181</v>
      </c>
      <c r="AJ5" s="304" t="s">
        <v>1181</v>
      </c>
      <c r="AK5" s="304" t="s">
        <v>1181</v>
      </c>
      <c r="AL5" s="304" t="s">
        <v>1181</v>
      </c>
      <c r="AM5" s="304" t="s">
        <v>1181</v>
      </c>
      <c r="AN5" s="304" t="s">
        <v>1181</v>
      </c>
      <c r="AO5" s="304" t="s">
        <v>1181</v>
      </c>
      <c r="AP5" s="304" t="s">
        <v>1181</v>
      </c>
      <c r="AQ5" s="304" t="s">
        <v>1181</v>
      </c>
      <c r="AR5" s="304" t="s">
        <v>1181</v>
      </c>
      <c r="AS5" s="304" t="s">
        <v>1182</v>
      </c>
      <c r="AT5" s="304" t="s">
        <v>1182</v>
      </c>
      <c r="AU5" s="304" t="s">
        <v>1182</v>
      </c>
      <c r="AV5" s="304" t="s">
        <v>1182</v>
      </c>
      <c r="AW5" s="304" t="s">
        <v>1182</v>
      </c>
      <c r="AX5" s="304" t="s">
        <v>1182</v>
      </c>
      <c r="AY5" s="304" t="s">
        <v>1182</v>
      </c>
      <c r="AZ5" s="304" t="s">
        <v>1182</v>
      </c>
      <c r="BA5" s="304" t="s">
        <v>1182</v>
      </c>
      <c r="BB5" s="304" t="s">
        <v>1182</v>
      </c>
      <c r="BC5" s="304" t="s">
        <v>1182</v>
      </c>
      <c r="BD5" s="304" t="s">
        <v>1182</v>
      </c>
      <c r="BE5" s="304" t="s">
        <v>1182</v>
      </c>
      <c r="BF5" s="304" t="s">
        <v>1182</v>
      </c>
      <c r="BG5" s="304" t="s">
        <v>1182</v>
      </c>
      <c r="BH5" s="304" t="s">
        <v>1181</v>
      </c>
      <c r="BI5" s="304" t="s">
        <v>1181</v>
      </c>
      <c r="BJ5" s="304" t="s">
        <v>1182</v>
      </c>
      <c r="BK5" s="304" t="s">
        <v>1181</v>
      </c>
      <c r="BL5" s="304" t="s">
        <v>1181</v>
      </c>
      <c r="BM5" s="304" t="s">
        <v>1181</v>
      </c>
      <c r="BN5" s="304" t="s">
        <v>1182</v>
      </c>
      <c r="BO5" s="304" t="s">
        <v>1182</v>
      </c>
      <c r="BP5" s="304" t="s">
        <v>1182</v>
      </c>
      <c r="BQ5" s="304" t="s">
        <v>1182</v>
      </c>
      <c r="BR5" s="304" t="s">
        <v>1181</v>
      </c>
      <c r="BS5" s="304" t="s">
        <v>1181</v>
      </c>
      <c r="BT5" s="304" t="s">
        <v>1181</v>
      </c>
      <c r="BU5" s="304" t="s">
        <v>1181</v>
      </c>
      <c r="BV5" s="304" t="s">
        <v>1181</v>
      </c>
      <c r="BW5" s="304" t="s">
        <v>1181</v>
      </c>
      <c r="BX5" s="304" t="s">
        <v>1181</v>
      </c>
      <c r="BY5" s="304" t="s">
        <v>1181</v>
      </c>
      <c r="BZ5" s="304" t="s">
        <v>1181</v>
      </c>
      <c r="CA5" s="304" t="s">
        <v>1181</v>
      </c>
      <c r="CB5" s="304" t="s">
        <v>1181</v>
      </c>
      <c r="CC5" s="304" t="s">
        <v>1181</v>
      </c>
      <c r="CD5" s="304" t="s">
        <v>1181</v>
      </c>
      <c r="CE5" s="304" t="s">
        <v>1181</v>
      </c>
      <c r="CF5" s="304" t="s">
        <v>1181</v>
      </c>
      <c r="CG5" s="304" t="s">
        <v>1181</v>
      </c>
      <c r="CH5" s="304" t="s">
        <v>1182</v>
      </c>
      <c r="CI5" s="304" t="s">
        <v>1182</v>
      </c>
      <c r="CJ5" s="304" t="s">
        <v>1181</v>
      </c>
      <c r="CK5" s="304" t="s">
        <v>1182</v>
      </c>
      <c r="CL5" s="304" t="s">
        <v>1181</v>
      </c>
      <c r="CM5" s="304" t="s">
        <v>1182</v>
      </c>
      <c r="CN5" s="304" t="s">
        <v>1181</v>
      </c>
      <c r="CO5" s="304" t="s">
        <v>1181</v>
      </c>
      <c r="CP5" s="304" t="s">
        <v>1181</v>
      </c>
      <c r="CQ5" s="304" t="s">
        <v>1181</v>
      </c>
      <c r="CR5" s="304" t="s">
        <v>1181</v>
      </c>
      <c r="CS5" s="304" t="s">
        <v>1181</v>
      </c>
      <c r="CT5" s="304" t="s">
        <v>1182</v>
      </c>
      <c r="CU5" s="304" t="s">
        <v>1182</v>
      </c>
      <c r="CV5" s="304" t="s">
        <v>1182</v>
      </c>
      <c r="CW5" s="304" t="s">
        <v>1182</v>
      </c>
      <c r="CX5" s="304" t="s">
        <v>1182</v>
      </c>
      <c r="CY5" s="304" t="s">
        <v>1182</v>
      </c>
      <c r="CZ5" s="304" t="s">
        <v>1181</v>
      </c>
      <c r="DA5" s="304" t="s">
        <v>1181</v>
      </c>
      <c r="DB5" s="304" t="s">
        <v>1181</v>
      </c>
      <c r="DC5" s="304" t="s">
        <v>1182</v>
      </c>
      <c r="DD5" s="304" t="s">
        <v>1182</v>
      </c>
      <c r="DE5" s="304" t="s">
        <v>1182</v>
      </c>
      <c r="DF5" s="304" t="s">
        <v>1181</v>
      </c>
      <c r="DG5" s="304" t="s">
        <v>1181</v>
      </c>
      <c r="DH5" s="304" t="s">
        <v>1181</v>
      </c>
      <c r="DI5" s="304" t="s">
        <v>1181</v>
      </c>
      <c r="DJ5" s="304" t="s">
        <v>1181</v>
      </c>
      <c r="DK5" s="304" t="s">
        <v>1181</v>
      </c>
      <c r="DL5" s="304" t="s">
        <v>1181</v>
      </c>
      <c r="DM5" s="304" t="s">
        <v>1181</v>
      </c>
      <c r="DN5" s="304" t="s">
        <v>1182</v>
      </c>
      <c r="DO5" s="304" t="s">
        <v>1181</v>
      </c>
      <c r="DP5" s="304" t="s">
        <v>1181</v>
      </c>
      <c r="DQ5" s="304" t="s">
        <v>1181</v>
      </c>
      <c r="DR5" s="304" t="s">
        <v>1181</v>
      </c>
      <c r="DS5" s="304" t="s">
        <v>1181</v>
      </c>
      <c r="DT5" s="304" t="s">
        <v>1182</v>
      </c>
      <c r="DU5" s="304" t="s">
        <v>1182</v>
      </c>
      <c r="DV5" s="304" t="s">
        <v>1182</v>
      </c>
      <c r="DW5" s="304" t="s">
        <v>1182</v>
      </c>
      <c r="DX5" s="304" t="s">
        <v>1181</v>
      </c>
      <c r="DY5" s="304" t="s">
        <v>1181</v>
      </c>
      <c r="DZ5" s="304" t="s">
        <v>1181</v>
      </c>
      <c r="EA5" s="304" t="s">
        <v>1181</v>
      </c>
      <c r="EB5" s="304" t="s">
        <v>1181</v>
      </c>
      <c r="EC5" s="304" t="s">
        <v>1181</v>
      </c>
      <c r="ED5" s="304" t="s">
        <v>1181</v>
      </c>
      <c r="EE5" s="304" t="s">
        <v>1182</v>
      </c>
      <c r="EF5" s="304" t="s">
        <v>1182</v>
      </c>
      <c r="EG5" s="304" t="s">
        <v>1182</v>
      </c>
      <c r="EH5" s="304" t="s">
        <v>1181</v>
      </c>
      <c r="EI5" s="304" t="s">
        <v>1181</v>
      </c>
      <c r="EJ5" s="304" t="s">
        <v>1181</v>
      </c>
      <c r="EK5" s="304" t="s">
        <v>1181</v>
      </c>
      <c r="EL5" s="304" t="s">
        <v>1182</v>
      </c>
      <c r="EM5" s="304" t="s">
        <v>1181</v>
      </c>
      <c r="EN5" s="304" t="s">
        <v>1181</v>
      </c>
      <c r="EO5" s="304" t="s">
        <v>1181</v>
      </c>
      <c r="EP5" s="304" t="s">
        <v>1181</v>
      </c>
      <c r="EQ5" s="304" t="s">
        <v>1182</v>
      </c>
      <c r="ER5" s="304" t="s">
        <v>1181</v>
      </c>
      <c r="ES5" s="304" t="s">
        <v>1181</v>
      </c>
      <c r="ET5" s="304" t="s">
        <v>1181</v>
      </c>
      <c r="EU5" s="305" t="s">
        <v>1182</v>
      </c>
      <c r="EV5" s="1200" t="s">
        <v>76</v>
      </c>
      <c r="EW5" s="1200" t="s">
        <v>77</v>
      </c>
      <c r="EX5" s="1200" t="s">
        <v>1183</v>
      </c>
      <c r="EY5" s="1200" t="s">
        <v>88</v>
      </c>
      <c r="EZ5" s="1200" t="s">
        <v>79</v>
      </c>
      <c r="FA5" s="1200" t="s">
        <v>1184</v>
      </c>
      <c r="FB5" s="1200" t="s">
        <v>1185</v>
      </c>
      <c r="FC5" s="1200" t="s">
        <v>82</v>
      </c>
      <c r="FD5" s="1181" t="s">
        <v>1186</v>
      </c>
    </row>
    <row r="6" spans="1:160" s="306" customFormat="1" ht="18.75" customHeight="1" x14ac:dyDescent="0.35">
      <c r="A6" s="1180"/>
      <c r="B6" s="1180"/>
      <c r="C6" s="307" t="s">
        <v>144</v>
      </c>
      <c r="D6" s="308" t="s">
        <v>155</v>
      </c>
      <c r="E6" s="307" t="s">
        <v>145</v>
      </c>
      <c r="F6" s="307" t="s">
        <v>146</v>
      </c>
      <c r="G6" s="307" t="s">
        <v>147</v>
      </c>
      <c r="H6" s="307" t="s">
        <v>148</v>
      </c>
      <c r="I6" s="307" t="s">
        <v>149</v>
      </c>
      <c r="J6" s="307" t="s">
        <v>150</v>
      </c>
      <c r="K6" s="307" t="s">
        <v>151</v>
      </c>
      <c r="L6" s="307" t="s">
        <v>135</v>
      </c>
      <c r="M6" s="307" t="s">
        <v>136</v>
      </c>
      <c r="N6" s="307" t="s">
        <v>137</v>
      </c>
      <c r="O6" s="307" t="s">
        <v>138</v>
      </c>
      <c r="P6" s="1180"/>
      <c r="Q6" s="1180"/>
      <c r="R6" s="1180"/>
      <c r="S6" s="1180"/>
      <c r="T6" s="1180"/>
      <c r="U6" s="1180"/>
      <c r="V6" s="1192"/>
      <c r="W6" s="1192"/>
      <c r="X6" s="1192"/>
      <c r="Y6" s="1192"/>
      <c r="Z6" s="1199"/>
      <c r="AA6" s="1192"/>
      <c r="AB6" s="1192"/>
      <c r="AC6" s="1199"/>
      <c r="AD6" s="1192"/>
      <c r="AE6" s="1192"/>
      <c r="AF6" s="1192"/>
      <c r="AG6" s="1192"/>
      <c r="AH6" s="1180"/>
      <c r="AI6" s="303" t="s">
        <v>1187</v>
      </c>
      <c r="AJ6" s="304" t="s">
        <v>1188</v>
      </c>
      <c r="AK6" s="304" t="s">
        <v>1189</v>
      </c>
      <c r="AL6" s="304" t="s">
        <v>1190</v>
      </c>
      <c r="AM6" s="304" t="s">
        <v>1191</v>
      </c>
      <c r="AN6" s="304" t="s">
        <v>1192</v>
      </c>
      <c r="AO6" s="304" t="s">
        <v>1193</v>
      </c>
      <c r="AP6" s="304" t="s">
        <v>1194</v>
      </c>
      <c r="AQ6" s="304" t="s">
        <v>1195</v>
      </c>
      <c r="AR6" s="304" t="s">
        <v>1196</v>
      </c>
      <c r="AS6" s="304" t="s">
        <v>1197</v>
      </c>
      <c r="AT6" s="304" t="s">
        <v>1198</v>
      </c>
      <c r="AU6" s="304" t="s">
        <v>1199</v>
      </c>
      <c r="AV6" s="304" t="s">
        <v>1200</v>
      </c>
      <c r="AW6" s="304" t="s">
        <v>1201</v>
      </c>
      <c r="AX6" s="304" t="s">
        <v>1202</v>
      </c>
      <c r="AY6" s="304" t="s">
        <v>1203</v>
      </c>
      <c r="AZ6" s="304" t="s">
        <v>1204</v>
      </c>
      <c r="BA6" s="304" t="s">
        <v>1205</v>
      </c>
      <c r="BB6" s="304" t="s">
        <v>1206</v>
      </c>
      <c r="BC6" s="304" t="s">
        <v>1207</v>
      </c>
      <c r="BD6" s="304" t="s">
        <v>1208</v>
      </c>
      <c r="BE6" s="304" t="s">
        <v>1209</v>
      </c>
      <c r="BF6" s="304" t="s">
        <v>1210</v>
      </c>
      <c r="BG6" s="304" t="s">
        <v>1211</v>
      </c>
      <c r="BH6" s="304" t="s">
        <v>1212</v>
      </c>
      <c r="BI6" s="304" t="s">
        <v>1154</v>
      </c>
      <c r="BJ6" s="304" t="s">
        <v>1213</v>
      </c>
      <c r="BK6" s="304" t="s">
        <v>1214</v>
      </c>
      <c r="BL6" s="304" t="s">
        <v>1215</v>
      </c>
      <c r="BM6" s="304" t="s">
        <v>1216</v>
      </c>
      <c r="BN6" s="304" t="s">
        <v>1217</v>
      </c>
      <c r="BO6" s="304" t="s">
        <v>1218</v>
      </c>
      <c r="BP6" s="304" t="s">
        <v>1216</v>
      </c>
      <c r="BQ6" s="304" t="s">
        <v>1219</v>
      </c>
      <c r="BR6" s="304" t="s">
        <v>1220</v>
      </c>
      <c r="BS6" s="304" t="s">
        <v>1221</v>
      </c>
      <c r="BT6" s="304" t="s">
        <v>1222</v>
      </c>
      <c r="BU6" s="304" t="s">
        <v>1223</v>
      </c>
      <c r="BV6" s="304" t="s">
        <v>1224</v>
      </c>
      <c r="BW6" s="304" t="s">
        <v>1225</v>
      </c>
      <c r="BX6" s="304" t="s">
        <v>1226</v>
      </c>
      <c r="BY6" s="304" t="s">
        <v>1227</v>
      </c>
      <c r="BZ6" s="304" t="s">
        <v>1228</v>
      </c>
      <c r="CA6" s="304" t="s">
        <v>1229</v>
      </c>
      <c r="CB6" s="304" t="s">
        <v>1230</v>
      </c>
      <c r="CC6" s="304" t="s">
        <v>1231</v>
      </c>
      <c r="CD6" s="304" t="s">
        <v>1232</v>
      </c>
      <c r="CE6" s="304" t="s">
        <v>1233</v>
      </c>
      <c r="CF6" s="304" t="s">
        <v>1234</v>
      </c>
      <c r="CG6" s="304" t="s">
        <v>1235</v>
      </c>
      <c r="CH6" s="304" t="s">
        <v>1236</v>
      </c>
      <c r="CI6" s="304" t="s">
        <v>1237</v>
      </c>
      <c r="CJ6" s="304" t="s">
        <v>1238</v>
      </c>
      <c r="CK6" s="304" t="s">
        <v>1238</v>
      </c>
      <c r="CL6" s="304" t="s">
        <v>1239</v>
      </c>
      <c r="CM6" s="304" t="s">
        <v>1238</v>
      </c>
      <c r="CN6" s="304" t="s">
        <v>1240</v>
      </c>
      <c r="CO6" s="304" t="s">
        <v>1241</v>
      </c>
      <c r="CP6" s="304" t="s">
        <v>1242</v>
      </c>
      <c r="CQ6" s="304" t="s">
        <v>1243</v>
      </c>
      <c r="CR6" s="304" t="s">
        <v>1244</v>
      </c>
      <c r="CS6" s="304" t="s">
        <v>1245</v>
      </c>
      <c r="CT6" s="304" t="s">
        <v>1240</v>
      </c>
      <c r="CU6" s="304" t="s">
        <v>1241</v>
      </c>
      <c r="CV6" s="304" t="s">
        <v>1242</v>
      </c>
      <c r="CW6" s="304" t="s">
        <v>1246</v>
      </c>
      <c r="CX6" s="304" t="s">
        <v>1247</v>
      </c>
      <c r="CY6" s="304" t="s">
        <v>1245</v>
      </c>
      <c r="CZ6" s="304" t="s">
        <v>1248</v>
      </c>
      <c r="DA6" s="304" t="s">
        <v>1249</v>
      </c>
      <c r="DB6" s="304" t="s">
        <v>1250</v>
      </c>
      <c r="DC6" s="304" t="s">
        <v>1251</v>
      </c>
      <c r="DD6" s="304" t="s">
        <v>1252</v>
      </c>
      <c r="DE6" s="304" t="s">
        <v>1253</v>
      </c>
      <c r="DF6" s="304" t="s">
        <v>1254</v>
      </c>
      <c r="DG6" s="304" t="s">
        <v>1255</v>
      </c>
      <c r="DH6" s="304" t="s">
        <v>1256</v>
      </c>
      <c r="DI6" s="304" t="s">
        <v>1257</v>
      </c>
      <c r="DJ6" s="304" t="s">
        <v>1258</v>
      </c>
      <c r="DK6" s="304" t="s">
        <v>1259</v>
      </c>
      <c r="DL6" s="304" t="s">
        <v>1260</v>
      </c>
      <c r="DM6" s="304" t="s">
        <v>1261</v>
      </c>
      <c r="DN6" s="304" t="s">
        <v>1238</v>
      </c>
      <c r="DO6" s="304" t="s">
        <v>1262</v>
      </c>
      <c r="DP6" s="304" t="s">
        <v>1263</v>
      </c>
      <c r="DQ6" s="304" t="s">
        <v>1264</v>
      </c>
      <c r="DR6" s="304" t="s">
        <v>1265</v>
      </c>
      <c r="DS6" s="304" t="s">
        <v>1266</v>
      </c>
      <c r="DT6" s="304" t="s">
        <v>1267</v>
      </c>
      <c r="DU6" s="304" t="s">
        <v>1268</v>
      </c>
      <c r="DV6" s="304" t="s">
        <v>1269</v>
      </c>
      <c r="DW6" s="304" t="s">
        <v>1270</v>
      </c>
      <c r="DX6" s="304" t="s">
        <v>1271</v>
      </c>
      <c r="DY6" s="304" t="s">
        <v>1272</v>
      </c>
      <c r="DZ6" s="304" t="s">
        <v>1273</v>
      </c>
      <c r="EA6" s="304" t="s">
        <v>1274</v>
      </c>
      <c r="EB6" s="304" t="s">
        <v>1275</v>
      </c>
      <c r="EC6" s="304" t="s">
        <v>1276</v>
      </c>
      <c r="ED6" s="304" t="s">
        <v>1277</v>
      </c>
      <c r="EE6" s="304" t="s">
        <v>1278</v>
      </c>
      <c r="EF6" s="304" t="s">
        <v>1279</v>
      </c>
      <c r="EG6" s="304" t="s">
        <v>1280</v>
      </c>
      <c r="EH6" s="304" t="s">
        <v>1281</v>
      </c>
      <c r="EI6" s="304" t="s">
        <v>1282</v>
      </c>
      <c r="EJ6" s="304" t="s">
        <v>1283</v>
      </c>
      <c r="EK6" s="304" t="s">
        <v>1284</v>
      </c>
      <c r="EL6" s="304" t="s">
        <v>1238</v>
      </c>
      <c r="EM6" s="304" t="s">
        <v>1285</v>
      </c>
      <c r="EN6" s="304" t="s">
        <v>1286</v>
      </c>
      <c r="EO6" s="304" t="s">
        <v>1287</v>
      </c>
      <c r="EP6" s="304" t="s">
        <v>1288</v>
      </c>
      <c r="EQ6" s="304" t="s">
        <v>1289</v>
      </c>
      <c r="ER6" s="304" t="s">
        <v>1290</v>
      </c>
      <c r="ES6" s="304" t="s">
        <v>1291</v>
      </c>
      <c r="ET6" s="304" t="s">
        <v>1288</v>
      </c>
      <c r="EU6" s="305" t="s">
        <v>1238</v>
      </c>
      <c r="EV6" s="1200"/>
      <c r="EW6" s="1200"/>
      <c r="EX6" s="1200"/>
      <c r="EY6" s="1200"/>
      <c r="EZ6" s="1200"/>
      <c r="FA6" s="1200"/>
      <c r="FB6" s="1200"/>
      <c r="FC6" s="1200"/>
      <c r="FD6" s="1180"/>
    </row>
    <row r="8" spans="1:160" s="6" customFormat="1" ht="13.5" customHeight="1" outlineLevel="2" x14ac:dyDescent="0.35">
      <c r="A8" s="286"/>
      <c r="B8" s="286" t="s">
        <v>68</v>
      </c>
      <c r="C8" s="287" t="s">
        <v>134</v>
      </c>
      <c r="D8" s="287" t="s">
        <v>161</v>
      </c>
      <c r="E8" s="287" t="s">
        <v>164</v>
      </c>
      <c r="F8" s="287" t="s">
        <v>159</v>
      </c>
      <c r="G8" s="287" t="s">
        <v>158</v>
      </c>
      <c r="H8" s="287" t="s">
        <v>158</v>
      </c>
      <c r="I8" s="287" t="s">
        <v>158</v>
      </c>
      <c r="J8" s="288" t="s">
        <v>158</v>
      </c>
      <c r="K8" s="287" t="s">
        <v>158</v>
      </c>
      <c r="L8" s="289" t="s">
        <v>158</v>
      </c>
      <c r="M8" s="289" t="s">
        <v>158</v>
      </c>
      <c r="N8" s="289" t="s">
        <v>158</v>
      </c>
      <c r="O8" s="289" t="s">
        <v>158</v>
      </c>
      <c r="P8" s="290">
        <f t="shared" ref="P8:P52" si="0">LEN(A8)</f>
        <v>0</v>
      </c>
      <c r="Q8" s="290" t="s">
        <v>124</v>
      </c>
      <c r="R8" s="290" t="s">
        <v>124</v>
      </c>
      <c r="S8" s="290" t="s">
        <v>68</v>
      </c>
      <c r="T8" s="286" t="s">
        <v>133</v>
      </c>
      <c r="U8" s="291" t="s">
        <v>7</v>
      </c>
      <c r="V8" s="292"/>
      <c r="W8" s="293"/>
      <c r="X8" s="293"/>
      <c r="Y8" s="293" t="s">
        <v>95</v>
      </c>
      <c r="Z8" s="293"/>
      <c r="AA8" s="293"/>
      <c r="AB8" s="293"/>
      <c r="AC8" s="293"/>
      <c r="AD8" s="293"/>
      <c r="AE8" s="293"/>
      <c r="AF8" s="293"/>
      <c r="AG8" s="293"/>
      <c r="AH8" s="286" t="s">
        <v>174</v>
      </c>
      <c r="AI8" s="290" t="s">
        <v>68</v>
      </c>
      <c r="AJ8" s="290" t="s">
        <v>68</v>
      </c>
      <c r="AK8" s="290" t="s">
        <v>68</v>
      </c>
      <c r="AL8" s="290" t="s">
        <v>68</v>
      </c>
      <c r="AM8" s="290" t="s">
        <v>68</v>
      </c>
      <c r="AN8" s="290" t="s">
        <v>68</v>
      </c>
      <c r="AO8" s="290" t="s">
        <v>68</v>
      </c>
      <c r="AP8" s="290" t="s">
        <v>68</v>
      </c>
      <c r="AQ8" s="290" t="s">
        <v>68</v>
      </c>
      <c r="AR8" s="290" t="s">
        <v>68</v>
      </c>
      <c r="AS8" s="290" t="s">
        <v>68</v>
      </c>
      <c r="AT8" s="290" t="s">
        <v>68</v>
      </c>
      <c r="AU8" s="290" t="s">
        <v>68</v>
      </c>
      <c r="AV8" s="290" t="s">
        <v>68</v>
      </c>
      <c r="AW8" s="290" t="s">
        <v>68</v>
      </c>
      <c r="AX8" s="290" t="s">
        <v>68</v>
      </c>
      <c r="AY8" s="290" t="s">
        <v>68</v>
      </c>
      <c r="AZ8" s="290" t="s">
        <v>68</v>
      </c>
      <c r="BA8" s="290" t="s">
        <v>68</v>
      </c>
      <c r="BB8" s="290" t="s">
        <v>68</v>
      </c>
      <c r="BC8" s="290" t="s">
        <v>68</v>
      </c>
      <c r="BD8" s="290" t="s">
        <v>68</v>
      </c>
      <c r="BE8" s="290" t="s">
        <v>68</v>
      </c>
      <c r="BF8" s="290" t="s">
        <v>68</v>
      </c>
      <c r="BG8" s="290" t="s">
        <v>68</v>
      </c>
      <c r="BH8" s="290" t="s">
        <v>68</v>
      </c>
      <c r="BI8" s="290" t="s">
        <v>68</v>
      </c>
      <c r="BJ8" s="290" t="s">
        <v>68</v>
      </c>
      <c r="BK8" s="290" t="s">
        <v>68</v>
      </c>
      <c r="BL8" s="290" t="s">
        <v>68</v>
      </c>
      <c r="BM8" s="290" t="s">
        <v>68</v>
      </c>
      <c r="BN8" s="290" t="s">
        <v>68</v>
      </c>
      <c r="BO8" s="290" t="s">
        <v>68</v>
      </c>
      <c r="BP8" s="290" t="s">
        <v>68</v>
      </c>
      <c r="BQ8" s="290" t="s">
        <v>68</v>
      </c>
      <c r="BR8" s="290" t="s">
        <v>68</v>
      </c>
      <c r="BS8" s="290" t="s">
        <v>68</v>
      </c>
      <c r="BT8" s="290" t="s">
        <v>68</v>
      </c>
      <c r="BU8" s="290" t="s">
        <v>68</v>
      </c>
      <c r="BV8" s="290" t="s">
        <v>68</v>
      </c>
      <c r="BW8" s="290" t="s">
        <v>68</v>
      </c>
      <c r="BX8" s="290" t="s">
        <v>68</v>
      </c>
      <c r="BY8" s="290" t="s">
        <v>68</v>
      </c>
      <c r="BZ8" s="290" t="s">
        <v>68</v>
      </c>
      <c r="CA8" s="290" t="s">
        <v>68</v>
      </c>
      <c r="CB8" s="290" t="s">
        <v>68</v>
      </c>
      <c r="CC8" s="290" t="s">
        <v>68</v>
      </c>
      <c r="CD8" s="290" t="s">
        <v>68</v>
      </c>
      <c r="CE8" s="290" t="s">
        <v>68</v>
      </c>
      <c r="CF8" s="290" t="s">
        <v>68</v>
      </c>
      <c r="CG8" s="290" t="s">
        <v>68</v>
      </c>
      <c r="CH8" s="290" t="s">
        <v>68</v>
      </c>
      <c r="CI8" s="290" t="s">
        <v>68</v>
      </c>
      <c r="CJ8" s="290" t="s">
        <v>68</v>
      </c>
      <c r="CK8" s="290" t="s">
        <v>68</v>
      </c>
      <c r="CL8" s="290" t="s">
        <v>68</v>
      </c>
      <c r="CM8" s="290" t="s">
        <v>68</v>
      </c>
      <c r="CN8" s="290" t="s">
        <v>68</v>
      </c>
      <c r="CO8" s="290" t="s">
        <v>68</v>
      </c>
      <c r="CP8" s="290" t="s">
        <v>68</v>
      </c>
      <c r="CQ8" s="290" t="s">
        <v>68</v>
      </c>
      <c r="CR8" s="290" t="s">
        <v>68</v>
      </c>
      <c r="CS8" s="290" t="s">
        <v>68</v>
      </c>
      <c r="CT8" s="290" t="s">
        <v>68</v>
      </c>
      <c r="CU8" s="290" t="s">
        <v>68</v>
      </c>
      <c r="CV8" s="290" t="s">
        <v>68</v>
      </c>
      <c r="CW8" s="290" t="s">
        <v>68</v>
      </c>
      <c r="CX8" s="290" t="s">
        <v>68</v>
      </c>
      <c r="CY8" s="290" t="s">
        <v>68</v>
      </c>
      <c r="CZ8" s="290" t="s">
        <v>68</v>
      </c>
      <c r="DA8" s="290" t="s">
        <v>68</v>
      </c>
      <c r="DB8" s="290" t="s">
        <v>68</v>
      </c>
      <c r="DC8" s="290" t="s">
        <v>68</v>
      </c>
      <c r="DD8" s="290" t="s">
        <v>68</v>
      </c>
      <c r="DE8" s="290" t="s">
        <v>68</v>
      </c>
      <c r="DF8" s="290" t="s">
        <v>68</v>
      </c>
      <c r="DG8" s="290" t="s">
        <v>68</v>
      </c>
      <c r="DH8" s="290" t="s">
        <v>68</v>
      </c>
      <c r="DI8" s="290" t="s">
        <v>68</v>
      </c>
      <c r="DJ8" s="290" t="s">
        <v>68</v>
      </c>
      <c r="DK8" s="290" t="s">
        <v>68</v>
      </c>
      <c r="DL8" s="290" t="s">
        <v>68</v>
      </c>
      <c r="DM8" s="290" t="s">
        <v>68</v>
      </c>
      <c r="DN8" s="290" t="s">
        <v>68</v>
      </c>
      <c r="DO8" s="290" t="s">
        <v>68</v>
      </c>
      <c r="DP8" s="290" t="s">
        <v>68</v>
      </c>
      <c r="DQ8" s="290" t="s">
        <v>68</v>
      </c>
      <c r="DR8" s="290" t="s">
        <v>68</v>
      </c>
      <c r="DS8" s="290" t="s">
        <v>68</v>
      </c>
      <c r="DT8" s="290" t="s">
        <v>68</v>
      </c>
      <c r="DU8" s="290" t="s">
        <v>68</v>
      </c>
      <c r="DV8" s="290" t="s">
        <v>68</v>
      </c>
      <c r="DW8" s="290" t="s">
        <v>68</v>
      </c>
      <c r="DX8" s="290" t="s">
        <v>68</v>
      </c>
      <c r="DY8" s="290" t="s">
        <v>68</v>
      </c>
      <c r="DZ8" s="290" t="s">
        <v>68</v>
      </c>
      <c r="EA8" s="290" t="s">
        <v>68</v>
      </c>
      <c r="EB8" s="290" t="s">
        <v>68</v>
      </c>
      <c r="EC8" s="290" t="s">
        <v>68</v>
      </c>
      <c r="ED8" s="290" t="s">
        <v>68</v>
      </c>
      <c r="EE8" s="290" t="s">
        <v>68</v>
      </c>
      <c r="EF8" s="290" t="s">
        <v>68</v>
      </c>
      <c r="EG8" s="290" t="s">
        <v>68</v>
      </c>
      <c r="EH8" s="290" t="s">
        <v>68</v>
      </c>
      <c r="EI8" s="290" t="s">
        <v>68</v>
      </c>
      <c r="EJ8" s="290" t="s">
        <v>68</v>
      </c>
      <c r="EK8" s="290" t="s">
        <v>68</v>
      </c>
      <c r="EL8" s="290" t="s">
        <v>68</v>
      </c>
      <c r="EM8" s="290" t="s">
        <v>68</v>
      </c>
      <c r="EN8" s="290" t="s">
        <v>68</v>
      </c>
      <c r="EO8" s="290" t="s">
        <v>68</v>
      </c>
      <c r="EP8" s="290" t="s">
        <v>68</v>
      </c>
      <c r="EQ8" s="290" t="s">
        <v>68</v>
      </c>
      <c r="ER8" s="290" t="s">
        <v>68</v>
      </c>
      <c r="ES8" s="290" t="s">
        <v>68</v>
      </c>
      <c r="ET8" s="290" t="s">
        <v>68</v>
      </c>
      <c r="EU8" s="294" t="s">
        <v>68</v>
      </c>
      <c r="EV8" s="286" t="s">
        <v>68</v>
      </c>
      <c r="EW8" s="286" t="s">
        <v>68</v>
      </c>
      <c r="EX8" s="286" t="s">
        <v>68</v>
      </c>
      <c r="EY8" s="286" t="s">
        <v>68</v>
      </c>
      <c r="EZ8" s="286" t="s">
        <v>68</v>
      </c>
      <c r="FA8" s="286" t="s">
        <v>68</v>
      </c>
      <c r="FB8" s="286" t="s">
        <v>68</v>
      </c>
      <c r="FC8" s="286" t="s">
        <v>68</v>
      </c>
      <c r="FD8" s="286" t="s">
        <v>68</v>
      </c>
    </row>
    <row r="9" spans="1:160" s="6" customFormat="1" ht="13.5" customHeight="1" outlineLevel="3" x14ac:dyDescent="0.35">
      <c r="A9" s="295"/>
      <c r="B9" s="295" t="s">
        <v>126</v>
      </c>
      <c r="C9" s="287" t="s">
        <v>134</v>
      </c>
      <c r="D9" s="287" t="s">
        <v>161</v>
      </c>
      <c r="E9" s="287" t="s">
        <v>164</v>
      </c>
      <c r="F9" s="287" t="s">
        <v>159</v>
      </c>
      <c r="G9" s="296" t="s">
        <v>159</v>
      </c>
      <c r="H9" s="287" t="s">
        <v>158</v>
      </c>
      <c r="I9" s="287" t="s">
        <v>158</v>
      </c>
      <c r="J9" s="288" t="s">
        <v>158</v>
      </c>
      <c r="K9" s="287" t="s">
        <v>158</v>
      </c>
      <c r="L9" s="289" t="s">
        <v>158</v>
      </c>
      <c r="M9" s="289" t="s">
        <v>158</v>
      </c>
      <c r="N9" s="289" t="s">
        <v>158</v>
      </c>
      <c r="O9" s="289" t="s">
        <v>158</v>
      </c>
      <c r="P9" s="290">
        <f t="shared" si="0"/>
        <v>0</v>
      </c>
      <c r="Q9" s="290" t="s">
        <v>67</v>
      </c>
      <c r="R9" s="290" t="s">
        <v>124</v>
      </c>
      <c r="S9" s="290" t="s">
        <v>156</v>
      </c>
      <c r="T9" s="286" t="s">
        <v>91</v>
      </c>
      <c r="U9" s="291" t="s">
        <v>9</v>
      </c>
      <c r="V9" s="292"/>
      <c r="W9" s="293"/>
      <c r="X9" s="293"/>
      <c r="Y9" s="293"/>
      <c r="Z9" s="293" t="s">
        <v>1113</v>
      </c>
      <c r="AA9" s="293"/>
      <c r="AB9" s="293"/>
      <c r="AC9" s="293"/>
      <c r="AD9" s="293"/>
      <c r="AE9" s="293"/>
      <c r="AF9" s="293"/>
      <c r="AG9" s="293"/>
      <c r="AH9" s="286" t="s">
        <v>175</v>
      </c>
      <c r="AI9" s="290" t="s">
        <v>124</v>
      </c>
      <c r="AJ9" s="290" t="s">
        <v>124</v>
      </c>
      <c r="AK9" s="290" t="s">
        <v>124</v>
      </c>
      <c r="AL9" s="290" t="s">
        <v>124</v>
      </c>
      <c r="AM9" s="290" t="s">
        <v>124</v>
      </c>
      <c r="AN9" s="290" t="s">
        <v>124</v>
      </c>
      <c r="AO9" s="290" t="s">
        <v>124</v>
      </c>
      <c r="AP9" s="290" t="s">
        <v>124</v>
      </c>
      <c r="AQ9" s="290" t="s">
        <v>124</v>
      </c>
      <c r="AR9" s="290" t="s">
        <v>124</v>
      </c>
      <c r="AS9" s="290" t="s">
        <v>124</v>
      </c>
      <c r="AT9" s="290" t="s">
        <v>124</v>
      </c>
      <c r="AU9" s="290" t="s">
        <v>124</v>
      </c>
      <c r="AV9" s="290" t="s">
        <v>124</v>
      </c>
      <c r="AW9" s="290" t="s">
        <v>124</v>
      </c>
      <c r="AX9" s="290" t="s">
        <v>124</v>
      </c>
      <c r="AY9" s="290" t="s">
        <v>124</v>
      </c>
      <c r="AZ9" s="290" t="s">
        <v>124</v>
      </c>
      <c r="BA9" s="290" t="s">
        <v>124</v>
      </c>
      <c r="BB9" s="290" t="s">
        <v>124</v>
      </c>
      <c r="BC9" s="290" t="s">
        <v>124</v>
      </c>
      <c r="BD9" s="290" t="s">
        <v>124</v>
      </c>
      <c r="BE9" s="290" t="s">
        <v>124</v>
      </c>
      <c r="BF9" s="290" t="s">
        <v>124</v>
      </c>
      <c r="BG9" s="290" t="s">
        <v>124</v>
      </c>
      <c r="BH9" s="290" t="s">
        <v>67</v>
      </c>
      <c r="BI9" s="290" t="s">
        <v>67</v>
      </c>
      <c r="BJ9" s="290" t="s">
        <v>67</v>
      </c>
      <c r="BK9" s="290" t="s">
        <v>124</v>
      </c>
      <c r="BL9" s="290" t="s">
        <v>124</v>
      </c>
      <c r="BM9" s="290" t="s">
        <v>124</v>
      </c>
      <c r="BN9" s="290" t="s">
        <v>124</v>
      </c>
      <c r="BO9" s="290" t="s">
        <v>124</v>
      </c>
      <c r="BP9" s="290" t="s">
        <v>124</v>
      </c>
      <c r="BQ9" s="290" t="s">
        <v>124</v>
      </c>
      <c r="BR9" s="290" t="s">
        <v>124</v>
      </c>
      <c r="BS9" s="290" t="s">
        <v>124</v>
      </c>
      <c r="BT9" s="290" t="s">
        <v>124</v>
      </c>
      <c r="BU9" s="290" t="s">
        <v>124</v>
      </c>
      <c r="BV9" s="290" t="s">
        <v>124</v>
      </c>
      <c r="BW9" s="290" t="s">
        <v>124</v>
      </c>
      <c r="BX9" s="290" t="s">
        <v>124</v>
      </c>
      <c r="BY9" s="290" t="s">
        <v>124</v>
      </c>
      <c r="BZ9" s="290" t="s">
        <v>124</v>
      </c>
      <c r="CA9" s="290" t="s">
        <v>124</v>
      </c>
      <c r="CB9" s="290" t="s">
        <v>124</v>
      </c>
      <c r="CC9" s="290" t="s">
        <v>124</v>
      </c>
      <c r="CD9" s="290" t="s">
        <v>124</v>
      </c>
      <c r="CE9" s="290" t="s">
        <v>124</v>
      </c>
      <c r="CF9" s="290" t="s">
        <v>124</v>
      </c>
      <c r="CG9" s="290" t="s">
        <v>124</v>
      </c>
      <c r="CH9" s="290" t="s">
        <v>124</v>
      </c>
      <c r="CI9" s="290" t="s">
        <v>124</v>
      </c>
      <c r="CJ9" s="290" t="s">
        <v>124</v>
      </c>
      <c r="CK9" s="290" t="s">
        <v>124</v>
      </c>
      <c r="CL9" s="290" t="s">
        <v>124</v>
      </c>
      <c r="CM9" s="290" t="s">
        <v>124</v>
      </c>
      <c r="CN9" s="290" t="s">
        <v>124</v>
      </c>
      <c r="CO9" s="290" t="s">
        <v>124</v>
      </c>
      <c r="CP9" s="290" t="s">
        <v>124</v>
      </c>
      <c r="CQ9" s="290" t="s">
        <v>124</v>
      </c>
      <c r="CR9" s="290" t="s">
        <v>124</v>
      </c>
      <c r="CS9" s="290" t="s">
        <v>124</v>
      </c>
      <c r="CT9" s="290" t="s">
        <v>124</v>
      </c>
      <c r="CU9" s="290" t="s">
        <v>124</v>
      </c>
      <c r="CV9" s="290" t="s">
        <v>124</v>
      </c>
      <c r="CW9" s="290" t="s">
        <v>124</v>
      </c>
      <c r="CX9" s="290" t="s">
        <v>124</v>
      </c>
      <c r="CY9" s="290" t="s">
        <v>124</v>
      </c>
      <c r="CZ9" s="290" t="s">
        <v>124</v>
      </c>
      <c r="DA9" s="290" t="s">
        <v>124</v>
      </c>
      <c r="DB9" s="290" t="s">
        <v>124</v>
      </c>
      <c r="DC9" s="290" t="s">
        <v>124</v>
      </c>
      <c r="DD9" s="290" t="s">
        <v>124</v>
      </c>
      <c r="DE9" s="290" t="s">
        <v>124</v>
      </c>
      <c r="DF9" s="290" t="s">
        <v>124</v>
      </c>
      <c r="DG9" s="290" t="s">
        <v>124</v>
      </c>
      <c r="DH9" s="290" t="s">
        <v>124</v>
      </c>
      <c r="DI9" s="290" t="s">
        <v>124</v>
      </c>
      <c r="DJ9" s="290" t="s">
        <v>124</v>
      </c>
      <c r="DK9" s="290" t="s">
        <v>124</v>
      </c>
      <c r="DL9" s="290" t="s">
        <v>124</v>
      </c>
      <c r="DM9" s="290" t="s">
        <v>124</v>
      </c>
      <c r="DN9" s="290" t="s">
        <v>124</v>
      </c>
      <c r="DO9" s="290" t="s">
        <v>124</v>
      </c>
      <c r="DP9" s="290" t="s">
        <v>124</v>
      </c>
      <c r="DQ9" s="290" t="s">
        <v>124</v>
      </c>
      <c r="DR9" s="290" t="s">
        <v>124</v>
      </c>
      <c r="DS9" s="290" t="s">
        <v>124</v>
      </c>
      <c r="DT9" s="290" t="s">
        <v>124</v>
      </c>
      <c r="DU9" s="290" t="s">
        <v>124</v>
      </c>
      <c r="DV9" s="290" t="s">
        <v>124</v>
      </c>
      <c r="DW9" s="290" t="s">
        <v>124</v>
      </c>
      <c r="DX9" s="290" t="s">
        <v>124</v>
      </c>
      <c r="DY9" s="290" t="s">
        <v>124</v>
      </c>
      <c r="DZ9" s="290" t="s">
        <v>124</v>
      </c>
      <c r="EA9" s="290" t="s">
        <v>124</v>
      </c>
      <c r="EB9" s="290" t="s">
        <v>124</v>
      </c>
      <c r="EC9" s="290" t="s">
        <v>124</v>
      </c>
      <c r="ED9" s="290" t="s">
        <v>124</v>
      </c>
      <c r="EE9" s="290" t="s">
        <v>124</v>
      </c>
      <c r="EF9" s="290" t="s">
        <v>124</v>
      </c>
      <c r="EG9" s="290" t="s">
        <v>124</v>
      </c>
      <c r="EH9" s="290" t="s">
        <v>124</v>
      </c>
      <c r="EI9" s="290" t="s">
        <v>124</v>
      </c>
      <c r="EJ9" s="290" t="s">
        <v>124</v>
      </c>
      <c r="EK9" s="290" t="s">
        <v>124</v>
      </c>
      <c r="EL9" s="290" t="s">
        <v>124</v>
      </c>
      <c r="EM9" s="290" t="s">
        <v>124</v>
      </c>
      <c r="EN9" s="290" t="s">
        <v>124</v>
      </c>
      <c r="EO9" s="290" t="s">
        <v>124</v>
      </c>
      <c r="EP9" s="290" t="s">
        <v>124</v>
      </c>
      <c r="EQ9" s="290" t="s">
        <v>124</v>
      </c>
      <c r="ER9" s="290" t="s">
        <v>124</v>
      </c>
      <c r="ES9" s="290" t="s">
        <v>124</v>
      </c>
      <c r="ET9" s="290" t="s">
        <v>124</v>
      </c>
      <c r="EU9" s="294" t="s">
        <v>124</v>
      </c>
      <c r="EV9" s="286" t="s">
        <v>1114</v>
      </c>
      <c r="EW9" s="286" t="s">
        <v>1115</v>
      </c>
      <c r="EX9" s="286" t="s">
        <v>1116</v>
      </c>
      <c r="EY9" s="286" t="s">
        <v>1117</v>
      </c>
      <c r="EZ9" s="286" t="s">
        <v>68</v>
      </c>
      <c r="FA9" s="286" t="s">
        <v>68</v>
      </c>
      <c r="FB9" s="286" t="s">
        <v>68</v>
      </c>
      <c r="FC9" s="286" t="s">
        <v>68</v>
      </c>
      <c r="FD9" s="286" t="s">
        <v>1118</v>
      </c>
    </row>
    <row r="10" spans="1:160" s="6" customFormat="1" ht="13.5" customHeight="1" outlineLevel="3" x14ac:dyDescent="0.35">
      <c r="A10" s="286"/>
      <c r="B10" s="286" t="s">
        <v>68</v>
      </c>
      <c r="C10" s="287" t="s">
        <v>134</v>
      </c>
      <c r="D10" s="287" t="s">
        <v>161</v>
      </c>
      <c r="E10" s="287" t="s">
        <v>164</v>
      </c>
      <c r="F10" s="287" t="s">
        <v>159</v>
      </c>
      <c r="G10" s="287" t="s">
        <v>160</v>
      </c>
      <c r="H10" s="287" t="s">
        <v>158</v>
      </c>
      <c r="I10" s="287" t="s">
        <v>158</v>
      </c>
      <c r="J10" s="288" t="s">
        <v>158</v>
      </c>
      <c r="K10" s="287" t="s">
        <v>158</v>
      </c>
      <c r="L10" s="289" t="s">
        <v>158</v>
      </c>
      <c r="M10" s="289" t="s">
        <v>158</v>
      </c>
      <c r="N10" s="289" t="s">
        <v>158</v>
      </c>
      <c r="O10" s="289" t="s">
        <v>158</v>
      </c>
      <c r="P10" s="290">
        <f t="shared" si="0"/>
        <v>0</v>
      </c>
      <c r="Q10" s="290" t="s">
        <v>124</v>
      </c>
      <c r="R10" s="290" t="s">
        <v>124</v>
      </c>
      <c r="S10" s="290" t="s">
        <v>68</v>
      </c>
      <c r="T10" s="286" t="s">
        <v>91</v>
      </c>
      <c r="U10" s="291" t="s">
        <v>100</v>
      </c>
      <c r="V10" s="292"/>
      <c r="W10" s="293"/>
      <c r="X10" s="293"/>
      <c r="Y10" s="293"/>
      <c r="Z10" s="293" t="s">
        <v>1119</v>
      </c>
      <c r="AA10" s="293"/>
      <c r="AB10" s="293"/>
      <c r="AC10" s="293"/>
      <c r="AD10" s="293"/>
      <c r="AE10" s="293"/>
      <c r="AF10" s="293"/>
      <c r="AG10" s="293"/>
      <c r="AH10" s="286" t="s">
        <v>176</v>
      </c>
      <c r="AI10" s="290" t="s">
        <v>68</v>
      </c>
      <c r="AJ10" s="290" t="s">
        <v>68</v>
      </c>
      <c r="AK10" s="290" t="s">
        <v>68</v>
      </c>
      <c r="AL10" s="290" t="s">
        <v>68</v>
      </c>
      <c r="AM10" s="290" t="s">
        <v>68</v>
      </c>
      <c r="AN10" s="290" t="s">
        <v>68</v>
      </c>
      <c r="AO10" s="290" t="s">
        <v>68</v>
      </c>
      <c r="AP10" s="290" t="s">
        <v>68</v>
      </c>
      <c r="AQ10" s="290" t="s">
        <v>68</v>
      </c>
      <c r="AR10" s="290" t="s">
        <v>68</v>
      </c>
      <c r="AS10" s="290" t="s">
        <v>68</v>
      </c>
      <c r="AT10" s="290" t="s">
        <v>68</v>
      </c>
      <c r="AU10" s="290" t="s">
        <v>68</v>
      </c>
      <c r="AV10" s="290" t="s">
        <v>68</v>
      </c>
      <c r="AW10" s="290" t="s">
        <v>68</v>
      </c>
      <c r="AX10" s="290" t="s">
        <v>68</v>
      </c>
      <c r="AY10" s="290" t="s">
        <v>68</v>
      </c>
      <c r="AZ10" s="290" t="s">
        <v>68</v>
      </c>
      <c r="BA10" s="290" t="s">
        <v>68</v>
      </c>
      <c r="BB10" s="290" t="s">
        <v>68</v>
      </c>
      <c r="BC10" s="290" t="s">
        <v>68</v>
      </c>
      <c r="BD10" s="290" t="s">
        <v>68</v>
      </c>
      <c r="BE10" s="290" t="s">
        <v>68</v>
      </c>
      <c r="BF10" s="290" t="s">
        <v>68</v>
      </c>
      <c r="BG10" s="290" t="s">
        <v>68</v>
      </c>
      <c r="BH10" s="290" t="s">
        <v>68</v>
      </c>
      <c r="BI10" s="290" t="s">
        <v>68</v>
      </c>
      <c r="BJ10" s="290" t="s">
        <v>68</v>
      </c>
      <c r="BK10" s="290" t="s">
        <v>68</v>
      </c>
      <c r="BL10" s="290" t="s">
        <v>68</v>
      </c>
      <c r="BM10" s="290" t="s">
        <v>68</v>
      </c>
      <c r="BN10" s="290" t="s">
        <v>68</v>
      </c>
      <c r="BO10" s="290" t="s">
        <v>68</v>
      </c>
      <c r="BP10" s="290" t="s">
        <v>68</v>
      </c>
      <c r="BQ10" s="290" t="s">
        <v>68</v>
      </c>
      <c r="BR10" s="290" t="s">
        <v>68</v>
      </c>
      <c r="BS10" s="290" t="s">
        <v>68</v>
      </c>
      <c r="BT10" s="290" t="s">
        <v>68</v>
      </c>
      <c r="BU10" s="290" t="s">
        <v>68</v>
      </c>
      <c r="BV10" s="290" t="s">
        <v>68</v>
      </c>
      <c r="BW10" s="290" t="s">
        <v>68</v>
      </c>
      <c r="BX10" s="290" t="s">
        <v>68</v>
      </c>
      <c r="BY10" s="290" t="s">
        <v>68</v>
      </c>
      <c r="BZ10" s="290" t="s">
        <v>68</v>
      </c>
      <c r="CA10" s="290" t="s">
        <v>68</v>
      </c>
      <c r="CB10" s="290" t="s">
        <v>68</v>
      </c>
      <c r="CC10" s="290" t="s">
        <v>68</v>
      </c>
      <c r="CD10" s="290" t="s">
        <v>68</v>
      </c>
      <c r="CE10" s="290" t="s">
        <v>68</v>
      </c>
      <c r="CF10" s="290" t="s">
        <v>68</v>
      </c>
      <c r="CG10" s="290" t="s">
        <v>68</v>
      </c>
      <c r="CH10" s="290" t="s">
        <v>68</v>
      </c>
      <c r="CI10" s="290" t="s">
        <v>68</v>
      </c>
      <c r="CJ10" s="290" t="s">
        <v>68</v>
      </c>
      <c r="CK10" s="290" t="s">
        <v>68</v>
      </c>
      <c r="CL10" s="290" t="s">
        <v>68</v>
      </c>
      <c r="CM10" s="290" t="s">
        <v>68</v>
      </c>
      <c r="CN10" s="290" t="s">
        <v>68</v>
      </c>
      <c r="CO10" s="290" t="s">
        <v>68</v>
      </c>
      <c r="CP10" s="290" t="s">
        <v>68</v>
      </c>
      <c r="CQ10" s="290" t="s">
        <v>68</v>
      </c>
      <c r="CR10" s="290" t="s">
        <v>68</v>
      </c>
      <c r="CS10" s="290" t="s">
        <v>68</v>
      </c>
      <c r="CT10" s="290" t="s">
        <v>68</v>
      </c>
      <c r="CU10" s="290" t="s">
        <v>68</v>
      </c>
      <c r="CV10" s="290" t="s">
        <v>68</v>
      </c>
      <c r="CW10" s="290" t="s">
        <v>68</v>
      </c>
      <c r="CX10" s="290" t="s">
        <v>68</v>
      </c>
      <c r="CY10" s="290" t="s">
        <v>68</v>
      </c>
      <c r="CZ10" s="290" t="s">
        <v>68</v>
      </c>
      <c r="DA10" s="290" t="s">
        <v>68</v>
      </c>
      <c r="DB10" s="290" t="s">
        <v>68</v>
      </c>
      <c r="DC10" s="290" t="s">
        <v>68</v>
      </c>
      <c r="DD10" s="290" t="s">
        <v>68</v>
      </c>
      <c r="DE10" s="290" t="s">
        <v>68</v>
      </c>
      <c r="DF10" s="290" t="s">
        <v>68</v>
      </c>
      <c r="DG10" s="290" t="s">
        <v>68</v>
      </c>
      <c r="DH10" s="290" t="s">
        <v>68</v>
      </c>
      <c r="DI10" s="290" t="s">
        <v>68</v>
      </c>
      <c r="DJ10" s="290" t="s">
        <v>68</v>
      </c>
      <c r="DK10" s="290" t="s">
        <v>68</v>
      </c>
      <c r="DL10" s="290" t="s">
        <v>68</v>
      </c>
      <c r="DM10" s="290" t="s">
        <v>68</v>
      </c>
      <c r="DN10" s="290" t="s">
        <v>68</v>
      </c>
      <c r="DO10" s="290" t="s">
        <v>68</v>
      </c>
      <c r="DP10" s="290" t="s">
        <v>68</v>
      </c>
      <c r="DQ10" s="290" t="s">
        <v>68</v>
      </c>
      <c r="DR10" s="290" t="s">
        <v>68</v>
      </c>
      <c r="DS10" s="290" t="s">
        <v>68</v>
      </c>
      <c r="DT10" s="290" t="s">
        <v>68</v>
      </c>
      <c r="DU10" s="290" t="s">
        <v>68</v>
      </c>
      <c r="DV10" s="290" t="s">
        <v>68</v>
      </c>
      <c r="DW10" s="290" t="s">
        <v>68</v>
      </c>
      <c r="DX10" s="290" t="s">
        <v>68</v>
      </c>
      <c r="DY10" s="290" t="s">
        <v>68</v>
      </c>
      <c r="DZ10" s="290" t="s">
        <v>68</v>
      </c>
      <c r="EA10" s="290" t="s">
        <v>68</v>
      </c>
      <c r="EB10" s="290" t="s">
        <v>68</v>
      </c>
      <c r="EC10" s="290" t="s">
        <v>68</v>
      </c>
      <c r="ED10" s="290" t="s">
        <v>68</v>
      </c>
      <c r="EE10" s="290" t="s">
        <v>68</v>
      </c>
      <c r="EF10" s="290" t="s">
        <v>68</v>
      </c>
      <c r="EG10" s="290" t="s">
        <v>68</v>
      </c>
      <c r="EH10" s="290" t="s">
        <v>68</v>
      </c>
      <c r="EI10" s="290" t="s">
        <v>68</v>
      </c>
      <c r="EJ10" s="290" t="s">
        <v>68</v>
      </c>
      <c r="EK10" s="290" t="s">
        <v>68</v>
      </c>
      <c r="EL10" s="290" t="s">
        <v>68</v>
      </c>
      <c r="EM10" s="290" t="s">
        <v>68</v>
      </c>
      <c r="EN10" s="290" t="s">
        <v>68</v>
      </c>
      <c r="EO10" s="290" t="s">
        <v>68</v>
      </c>
      <c r="EP10" s="290" t="s">
        <v>68</v>
      </c>
      <c r="EQ10" s="290" t="s">
        <v>68</v>
      </c>
      <c r="ER10" s="290" t="s">
        <v>68</v>
      </c>
      <c r="ES10" s="290" t="s">
        <v>68</v>
      </c>
      <c r="ET10" s="290" t="s">
        <v>68</v>
      </c>
      <c r="EU10" s="294" t="s">
        <v>68</v>
      </c>
      <c r="EV10" s="286" t="s">
        <v>68</v>
      </c>
      <c r="EW10" s="286" t="s">
        <v>68</v>
      </c>
      <c r="EX10" s="286" t="s">
        <v>68</v>
      </c>
      <c r="EY10" s="286" t="s">
        <v>68</v>
      </c>
      <c r="EZ10" s="286" t="s">
        <v>68</v>
      </c>
      <c r="FA10" s="286" t="s">
        <v>68</v>
      </c>
      <c r="FB10" s="286" t="s">
        <v>68</v>
      </c>
      <c r="FC10" s="286" t="s">
        <v>68</v>
      </c>
      <c r="FD10" s="286" t="s">
        <v>68</v>
      </c>
    </row>
    <row r="11" spans="1:160" s="6" customFormat="1" ht="13.5" customHeight="1" outlineLevel="4" x14ac:dyDescent="0.35">
      <c r="A11" s="295"/>
      <c r="B11" s="295" t="s">
        <v>126</v>
      </c>
      <c r="C11" s="287" t="s">
        <v>134</v>
      </c>
      <c r="D11" s="287" t="s">
        <v>161</v>
      </c>
      <c r="E11" s="287" t="s">
        <v>164</v>
      </c>
      <c r="F11" s="287" t="s">
        <v>159</v>
      </c>
      <c r="G11" s="287" t="s">
        <v>160</v>
      </c>
      <c r="H11" s="296" t="s">
        <v>159</v>
      </c>
      <c r="I11" s="287" t="s">
        <v>158</v>
      </c>
      <c r="J11" s="288" t="s">
        <v>158</v>
      </c>
      <c r="K11" s="287" t="s">
        <v>158</v>
      </c>
      <c r="L11" s="289" t="s">
        <v>158</v>
      </c>
      <c r="M11" s="289" t="s">
        <v>158</v>
      </c>
      <c r="N11" s="289" t="s">
        <v>158</v>
      </c>
      <c r="O11" s="289" t="s">
        <v>158</v>
      </c>
      <c r="P11" s="290">
        <f t="shared" si="0"/>
        <v>0</v>
      </c>
      <c r="Q11" s="290" t="s">
        <v>67</v>
      </c>
      <c r="R11" s="290" t="s">
        <v>124</v>
      </c>
      <c r="S11" s="290" t="s">
        <v>156</v>
      </c>
      <c r="T11" s="286" t="s">
        <v>91</v>
      </c>
      <c r="U11" s="291" t="s">
        <v>71</v>
      </c>
      <c r="V11" s="292"/>
      <c r="W11" s="293"/>
      <c r="X11" s="293"/>
      <c r="Y11" s="293"/>
      <c r="Z11" s="293"/>
      <c r="AA11" s="293" t="s">
        <v>1120</v>
      </c>
      <c r="AB11" s="293"/>
      <c r="AC11" s="293"/>
      <c r="AD11" s="293"/>
      <c r="AE11" s="293"/>
      <c r="AF11" s="293"/>
      <c r="AG11" s="293"/>
      <c r="AH11" s="286" t="s">
        <v>177</v>
      </c>
      <c r="AI11" s="290" t="s">
        <v>124</v>
      </c>
      <c r="AJ11" s="290" t="s">
        <v>124</v>
      </c>
      <c r="AK11" s="290" t="s">
        <v>124</v>
      </c>
      <c r="AL11" s="290" t="s">
        <v>124</v>
      </c>
      <c r="AM11" s="290" t="s">
        <v>124</v>
      </c>
      <c r="AN11" s="290" t="s">
        <v>124</v>
      </c>
      <c r="AO11" s="290" t="s">
        <v>124</v>
      </c>
      <c r="AP11" s="290" t="s">
        <v>124</v>
      </c>
      <c r="AQ11" s="290" t="s">
        <v>124</v>
      </c>
      <c r="AR11" s="290" t="s">
        <v>124</v>
      </c>
      <c r="AS11" s="290" t="s">
        <v>124</v>
      </c>
      <c r="AT11" s="290" t="s">
        <v>124</v>
      </c>
      <c r="AU11" s="290" t="s">
        <v>124</v>
      </c>
      <c r="AV11" s="290" t="s">
        <v>124</v>
      </c>
      <c r="AW11" s="290" t="s">
        <v>124</v>
      </c>
      <c r="AX11" s="290" t="s">
        <v>124</v>
      </c>
      <c r="AY11" s="290" t="s">
        <v>124</v>
      </c>
      <c r="AZ11" s="290" t="s">
        <v>124</v>
      </c>
      <c r="BA11" s="290" t="s">
        <v>124</v>
      </c>
      <c r="BB11" s="290" t="s">
        <v>124</v>
      </c>
      <c r="BC11" s="290" t="s">
        <v>124</v>
      </c>
      <c r="BD11" s="290" t="s">
        <v>124</v>
      </c>
      <c r="BE11" s="290" t="s">
        <v>124</v>
      </c>
      <c r="BF11" s="290" t="s">
        <v>124</v>
      </c>
      <c r="BG11" s="290" t="s">
        <v>124</v>
      </c>
      <c r="BH11" s="290" t="s">
        <v>67</v>
      </c>
      <c r="BI11" s="290" t="s">
        <v>67</v>
      </c>
      <c r="BJ11" s="290" t="s">
        <v>67</v>
      </c>
      <c r="BK11" s="290" t="s">
        <v>124</v>
      </c>
      <c r="BL11" s="290" t="s">
        <v>124</v>
      </c>
      <c r="BM11" s="290" t="s">
        <v>124</v>
      </c>
      <c r="BN11" s="290" t="s">
        <v>124</v>
      </c>
      <c r="BO11" s="290" t="s">
        <v>124</v>
      </c>
      <c r="BP11" s="290" t="s">
        <v>124</v>
      </c>
      <c r="BQ11" s="290" t="s">
        <v>124</v>
      </c>
      <c r="BR11" s="290" t="s">
        <v>124</v>
      </c>
      <c r="BS11" s="290" t="s">
        <v>124</v>
      </c>
      <c r="BT11" s="290" t="s">
        <v>124</v>
      </c>
      <c r="BU11" s="290" t="s">
        <v>124</v>
      </c>
      <c r="BV11" s="290" t="s">
        <v>124</v>
      </c>
      <c r="BW11" s="290" t="s">
        <v>124</v>
      </c>
      <c r="BX11" s="290" t="s">
        <v>124</v>
      </c>
      <c r="BY11" s="290" t="s">
        <v>124</v>
      </c>
      <c r="BZ11" s="290" t="s">
        <v>124</v>
      </c>
      <c r="CA11" s="290" t="s">
        <v>124</v>
      </c>
      <c r="CB11" s="290" t="s">
        <v>124</v>
      </c>
      <c r="CC11" s="290" t="s">
        <v>124</v>
      </c>
      <c r="CD11" s="290" t="s">
        <v>124</v>
      </c>
      <c r="CE11" s="290" t="s">
        <v>124</v>
      </c>
      <c r="CF11" s="290" t="s">
        <v>124</v>
      </c>
      <c r="CG11" s="290" t="s">
        <v>124</v>
      </c>
      <c r="CH11" s="290" t="s">
        <v>124</v>
      </c>
      <c r="CI11" s="290" t="s">
        <v>124</v>
      </c>
      <c r="CJ11" s="290" t="s">
        <v>124</v>
      </c>
      <c r="CK11" s="290" t="s">
        <v>124</v>
      </c>
      <c r="CL11" s="290" t="s">
        <v>124</v>
      </c>
      <c r="CM11" s="290" t="s">
        <v>124</v>
      </c>
      <c r="CN11" s="290" t="s">
        <v>124</v>
      </c>
      <c r="CO11" s="290" t="s">
        <v>124</v>
      </c>
      <c r="CP11" s="290" t="s">
        <v>124</v>
      </c>
      <c r="CQ11" s="290" t="s">
        <v>124</v>
      </c>
      <c r="CR11" s="290" t="s">
        <v>124</v>
      </c>
      <c r="CS11" s="290" t="s">
        <v>124</v>
      </c>
      <c r="CT11" s="290" t="s">
        <v>124</v>
      </c>
      <c r="CU11" s="290" t="s">
        <v>124</v>
      </c>
      <c r="CV11" s="290" t="s">
        <v>124</v>
      </c>
      <c r="CW11" s="290" t="s">
        <v>124</v>
      </c>
      <c r="CX11" s="290" t="s">
        <v>124</v>
      </c>
      <c r="CY11" s="290" t="s">
        <v>124</v>
      </c>
      <c r="CZ11" s="290" t="s">
        <v>124</v>
      </c>
      <c r="DA11" s="290" t="s">
        <v>124</v>
      </c>
      <c r="DB11" s="290" t="s">
        <v>124</v>
      </c>
      <c r="DC11" s="290" t="s">
        <v>124</v>
      </c>
      <c r="DD11" s="290" t="s">
        <v>124</v>
      </c>
      <c r="DE11" s="290" t="s">
        <v>124</v>
      </c>
      <c r="DF11" s="290" t="s">
        <v>124</v>
      </c>
      <c r="DG11" s="290" t="s">
        <v>124</v>
      </c>
      <c r="DH11" s="290" t="s">
        <v>124</v>
      </c>
      <c r="DI11" s="290" t="s">
        <v>124</v>
      </c>
      <c r="DJ11" s="290" t="s">
        <v>124</v>
      </c>
      <c r="DK11" s="290" t="s">
        <v>124</v>
      </c>
      <c r="DL11" s="290" t="s">
        <v>124</v>
      </c>
      <c r="DM11" s="290" t="s">
        <v>124</v>
      </c>
      <c r="DN11" s="290" t="s">
        <v>124</v>
      </c>
      <c r="DO11" s="290" t="s">
        <v>124</v>
      </c>
      <c r="DP11" s="290" t="s">
        <v>124</v>
      </c>
      <c r="DQ11" s="290" t="s">
        <v>124</v>
      </c>
      <c r="DR11" s="290" t="s">
        <v>124</v>
      </c>
      <c r="DS11" s="290" t="s">
        <v>124</v>
      </c>
      <c r="DT11" s="290" t="s">
        <v>124</v>
      </c>
      <c r="DU11" s="290" t="s">
        <v>124</v>
      </c>
      <c r="DV11" s="290" t="s">
        <v>124</v>
      </c>
      <c r="DW11" s="290" t="s">
        <v>124</v>
      </c>
      <c r="DX11" s="290" t="s">
        <v>124</v>
      </c>
      <c r="DY11" s="290" t="s">
        <v>124</v>
      </c>
      <c r="DZ11" s="290" t="s">
        <v>124</v>
      </c>
      <c r="EA11" s="290" t="s">
        <v>124</v>
      </c>
      <c r="EB11" s="290" t="s">
        <v>124</v>
      </c>
      <c r="EC11" s="290" t="s">
        <v>124</v>
      </c>
      <c r="ED11" s="290" t="s">
        <v>124</v>
      </c>
      <c r="EE11" s="290" t="s">
        <v>124</v>
      </c>
      <c r="EF11" s="290" t="s">
        <v>124</v>
      </c>
      <c r="EG11" s="290" t="s">
        <v>124</v>
      </c>
      <c r="EH11" s="290" t="s">
        <v>124</v>
      </c>
      <c r="EI11" s="290" t="s">
        <v>124</v>
      </c>
      <c r="EJ11" s="290" t="s">
        <v>124</v>
      </c>
      <c r="EK11" s="290" t="s">
        <v>124</v>
      </c>
      <c r="EL11" s="290" t="s">
        <v>124</v>
      </c>
      <c r="EM11" s="290" t="s">
        <v>124</v>
      </c>
      <c r="EN11" s="290" t="s">
        <v>124</v>
      </c>
      <c r="EO11" s="290" t="s">
        <v>124</v>
      </c>
      <c r="EP11" s="290" t="s">
        <v>124</v>
      </c>
      <c r="EQ11" s="290" t="s">
        <v>124</v>
      </c>
      <c r="ER11" s="290" t="s">
        <v>124</v>
      </c>
      <c r="ES11" s="290" t="s">
        <v>124</v>
      </c>
      <c r="ET11" s="290" t="s">
        <v>124</v>
      </c>
      <c r="EU11" s="294" t="s">
        <v>124</v>
      </c>
      <c r="EV11" s="286" t="s">
        <v>1114</v>
      </c>
      <c r="EW11" s="286" t="s">
        <v>1115</v>
      </c>
      <c r="EX11" s="286" t="s">
        <v>1116</v>
      </c>
      <c r="EY11" s="286" t="s">
        <v>1117</v>
      </c>
      <c r="EZ11" s="286" t="s">
        <v>68</v>
      </c>
      <c r="FA11" s="286" t="s">
        <v>68</v>
      </c>
      <c r="FB11" s="286" t="s">
        <v>68</v>
      </c>
      <c r="FC11" s="286" t="s">
        <v>68</v>
      </c>
      <c r="FD11" s="286" t="s">
        <v>1118</v>
      </c>
    </row>
    <row r="12" spans="1:160" s="6" customFormat="1" ht="13.5" customHeight="1" outlineLevel="4" x14ac:dyDescent="0.35">
      <c r="A12" s="286"/>
      <c r="B12" s="286" t="s">
        <v>68</v>
      </c>
      <c r="C12" s="287" t="s">
        <v>134</v>
      </c>
      <c r="D12" s="287" t="s">
        <v>161</v>
      </c>
      <c r="E12" s="287" t="s">
        <v>164</v>
      </c>
      <c r="F12" s="287" t="s">
        <v>159</v>
      </c>
      <c r="G12" s="287" t="s">
        <v>160</v>
      </c>
      <c r="H12" s="287" t="s">
        <v>160</v>
      </c>
      <c r="I12" s="287" t="s">
        <v>158</v>
      </c>
      <c r="J12" s="288" t="s">
        <v>158</v>
      </c>
      <c r="K12" s="287" t="s">
        <v>158</v>
      </c>
      <c r="L12" s="289" t="s">
        <v>158</v>
      </c>
      <c r="M12" s="289" t="s">
        <v>158</v>
      </c>
      <c r="N12" s="289" t="s">
        <v>158</v>
      </c>
      <c r="O12" s="289" t="s">
        <v>158</v>
      </c>
      <c r="P12" s="290">
        <f t="shared" si="0"/>
        <v>0</v>
      </c>
      <c r="Q12" s="290" t="s">
        <v>124</v>
      </c>
      <c r="R12" s="290" t="s">
        <v>124</v>
      </c>
      <c r="S12" s="290" t="s">
        <v>68</v>
      </c>
      <c r="T12" s="286" t="s">
        <v>91</v>
      </c>
      <c r="U12" s="291" t="s">
        <v>13</v>
      </c>
      <c r="V12" s="292"/>
      <c r="W12" s="293"/>
      <c r="X12" s="293"/>
      <c r="Y12" s="293"/>
      <c r="Z12" s="293"/>
      <c r="AA12" s="293" t="s">
        <v>1121</v>
      </c>
      <c r="AB12" s="293"/>
      <c r="AC12" s="293"/>
      <c r="AD12" s="293"/>
      <c r="AE12" s="293"/>
      <c r="AF12" s="293"/>
      <c r="AG12" s="293"/>
      <c r="AH12" s="286" t="s">
        <v>178</v>
      </c>
      <c r="AI12" s="290" t="s">
        <v>68</v>
      </c>
      <c r="AJ12" s="290" t="s">
        <v>68</v>
      </c>
      <c r="AK12" s="290" t="s">
        <v>68</v>
      </c>
      <c r="AL12" s="290" t="s">
        <v>68</v>
      </c>
      <c r="AM12" s="290" t="s">
        <v>68</v>
      </c>
      <c r="AN12" s="290" t="s">
        <v>68</v>
      </c>
      <c r="AO12" s="290" t="s">
        <v>68</v>
      </c>
      <c r="AP12" s="290" t="s">
        <v>68</v>
      </c>
      <c r="AQ12" s="290" t="s">
        <v>68</v>
      </c>
      <c r="AR12" s="290" t="s">
        <v>68</v>
      </c>
      <c r="AS12" s="290" t="s">
        <v>68</v>
      </c>
      <c r="AT12" s="290" t="s">
        <v>68</v>
      </c>
      <c r="AU12" s="290" t="s">
        <v>68</v>
      </c>
      <c r="AV12" s="290" t="s">
        <v>68</v>
      </c>
      <c r="AW12" s="290" t="s">
        <v>68</v>
      </c>
      <c r="AX12" s="290" t="s">
        <v>68</v>
      </c>
      <c r="AY12" s="290" t="s">
        <v>68</v>
      </c>
      <c r="AZ12" s="290" t="s">
        <v>68</v>
      </c>
      <c r="BA12" s="290" t="s">
        <v>68</v>
      </c>
      <c r="BB12" s="290" t="s">
        <v>68</v>
      </c>
      <c r="BC12" s="290" t="s">
        <v>68</v>
      </c>
      <c r="BD12" s="290" t="s">
        <v>68</v>
      </c>
      <c r="BE12" s="290" t="s">
        <v>68</v>
      </c>
      <c r="BF12" s="290" t="s">
        <v>68</v>
      </c>
      <c r="BG12" s="290" t="s">
        <v>68</v>
      </c>
      <c r="BH12" s="290" t="s">
        <v>68</v>
      </c>
      <c r="BI12" s="290" t="s">
        <v>68</v>
      </c>
      <c r="BJ12" s="290" t="s">
        <v>68</v>
      </c>
      <c r="BK12" s="290" t="s">
        <v>68</v>
      </c>
      <c r="BL12" s="290" t="s">
        <v>68</v>
      </c>
      <c r="BM12" s="290" t="s">
        <v>68</v>
      </c>
      <c r="BN12" s="290" t="s">
        <v>68</v>
      </c>
      <c r="BO12" s="290" t="s">
        <v>68</v>
      </c>
      <c r="BP12" s="290" t="s">
        <v>68</v>
      </c>
      <c r="BQ12" s="290" t="s">
        <v>68</v>
      </c>
      <c r="BR12" s="290" t="s">
        <v>68</v>
      </c>
      <c r="BS12" s="290" t="s">
        <v>68</v>
      </c>
      <c r="BT12" s="290" t="s">
        <v>68</v>
      </c>
      <c r="BU12" s="290" t="s">
        <v>68</v>
      </c>
      <c r="BV12" s="290" t="s">
        <v>68</v>
      </c>
      <c r="BW12" s="290" t="s">
        <v>68</v>
      </c>
      <c r="BX12" s="290" t="s">
        <v>68</v>
      </c>
      <c r="BY12" s="290" t="s">
        <v>68</v>
      </c>
      <c r="BZ12" s="290" t="s">
        <v>68</v>
      </c>
      <c r="CA12" s="290" t="s">
        <v>68</v>
      </c>
      <c r="CB12" s="290" t="s">
        <v>68</v>
      </c>
      <c r="CC12" s="290" t="s">
        <v>68</v>
      </c>
      <c r="CD12" s="290" t="s">
        <v>68</v>
      </c>
      <c r="CE12" s="290" t="s">
        <v>68</v>
      </c>
      <c r="CF12" s="290" t="s">
        <v>68</v>
      </c>
      <c r="CG12" s="290" t="s">
        <v>68</v>
      </c>
      <c r="CH12" s="290" t="s">
        <v>68</v>
      </c>
      <c r="CI12" s="290" t="s">
        <v>68</v>
      </c>
      <c r="CJ12" s="290" t="s">
        <v>68</v>
      </c>
      <c r="CK12" s="290" t="s">
        <v>68</v>
      </c>
      <c r="CL12" s="290" t="s">
        <v>68</v>
      </c>
      <c r="CM12" s="290" t="s">
        <v>68</v>
      </c>
      <c r="CN12" s="290" t="s">
        <v>68</v>
      </c>
      <c r="CO12" s="290" t="s">
        <v>68</v>
      </c>
      <c r="CP12" s="290" t="s">
        <v>68</v>
      </c>
      <c r="CQ12" s="290" t="s">
        <v>68</v>
      </c>
      <c r="CR12" s="290" t="s">
        <v>68</v>
      </c>
      <c r="CS12" s="290" t="s">
        <v>68</v>
      </c>
      <c r="CT12" s="290" t="s">
        <v>68</v>
      </c>
      <c r="CU12" s="290" t="s">
        <v>68</v>
      </c>
      <c r="CV12" s="290" t="s">
        <v>68</v>
      </c>
      <c r="CW12" s="290" t="s">
        <v>68</v>
      </c>
      <c r="CX12" s="290" t="s">
        <v>68</v>
      </c>
      <c r="CY12" s="290" t="s">
        <v>68</v>
      </c>
      <c r="CZ12" s="290" t="s">
        <v>68</v>
      </c>
      <c r="DA12" s="290" t="s">
        <v>68</v>
      </c>
      <c r="DB12" s="290" t="s">
        <v>68</v>
      </c>
      <c r="DC12" s="290" t="s">
        <v>68</v>
      </c>
      <c r="DD12" s="290" t="s">
        <v>68</v>
      </c>
      <c r="DE12" s="290" t="s">
        <v>68</v>
      </c>
      <c r="DF12" s="290" t="s">
        <v>68</v>
      </c>
      <c r="DG12" s="290" t="s">
        <v>68</v>
      </c>
      <c r="DH12" s="290" t="s">
        <v>68</v>
      </c>
      <c r="DI12" s="290" t="s">
        <v>68</v>
      </c>
      <c r="DJ12" s="290" t="s">
        <v>68</v>
      </c>
      <c r="DK12" s="290" t="s">
        <v>68</v>
      </c>
      <c r="DL12" s="290" t="s">
        <v>68</v>
      </c>
      <c r="DM12" s="290" t="s">
        <v>68</v>
      </c>
      <c r="DN12" s="290" t="s">
        <v>68</v>
      </c>
      <c r="DO12" s="290" t="s">
        <v>68</v>
      </c>
      <c r="DP12" s="290" t="s">
        <v>68</v>
      </c>
      <c r="DQ12" s="290" t="s">
        <v>68</v>
      </c>
      <c r="DR12" s="290" t="s">
        <v>68</v>
      </c>
      <c r="DS12" s="290" t="s">
        <v>68</v>
      </c>
      <c r="DT12" s="290" t="s">
        <v>68</v>
      </c>
      <c r="DU12" s="290" t="s">
        <v>68</v>
      </c>
      <c r="DV12" s="290" t="s">
        <v>68</v>
      </c>
      <c r="DW12" s="290" t="s">
        <v>68</v>
      </c>
      <c r="DX12" s="290" t="s">
        <v>68</v>
      </c>
      <c r="DY12" s="290" t="s">
        <v>68</v>
      </c>
      <c r="DZ12" s="290" t="s">
        <v>68</v>
      </c>
      <c r="EA12" s="290" t="s">
        <v>68</v>
      </c>
      <c r="EB12" s="290" t="s">
        <v>68</v>
      </c>
      <c r="EC12" s="290" t="s">
        <v>68</v>
      </c>
      <c r="ED12" s="290" t="s">
        <v>68</v>
      </c>
      <c r="EE12" s="290" t="s">
        <v>68</v>
      </c>
      <c r="EF12" s="290" t="s">
        <v>68</v>
      </c>
      <c r="EG12" s="290" t="s">
        <v>68</v>
      </c>
      <c r="EH12" s="290" t="s">
        <v>68</v>
      </c>
      <c r="EI12" s="290" t="s">
        <v>68</v>
      </c>
      <c r="EJ12" s="290" t="s">
        <v>68</v>
      </c>
      <c r="EK12" s="290" t="s">
        <v>68</v>
      </c>
      <c r="EL12" s="290" t="s">
        <v>68</v>
      </c>
      <c r="EM12" s="290" t="s">
        <v>68</v>
      </c>
      <c r="EN12" s="290" t="s">
        <v>68</v>
      </c>
      <c r="EO12" s="290" t="s">
        <v>68</v>
      </c>
      <c r="EP12" s="290" t="s">
        <v>68</v>
      </c>
      <c r="EQ12" s="290" t="s">
        <v>68</v>
      </c>
      <c r="ER12" s="290" t="s">
        <v>68</v>
      </c>
      <c r="ES12" s="290" t="s">
        <v>68</v>
      </c>
      <c r="ET12" s="290" t="s">
        <v>68</v>
      </c>
      <c r="EU12" s="294" t="s">
        <v>68</v>
      </c>
      <c r="EV12" s="286" t="s">
        <v>68</v>
      </c>
      <c r="EW12" s="286" t="s">
        <v>68</v>
      </c>
      <c r="EX12" s="286" t="s">
        <v>68</v>
      </c>
      <c r="EY12" s="286" t="s">
        <v>68</v>
      </c>
      <c r="EZ12" s="286" t="s">
        <v>68</v>
      </c>
      <c r="FA12" s="286" t="s">
        <v>68</v>
      </c>
      <c r="FB12" s="286" t="s">
        <v>68</v>
      </c>
      <c r="FC12" s="286" t="s">
        <v>68</v>
      </c>
      <c r="FD12" s="286" t="s">
        <v>68</v>
      </c>
    </row>
    <row r="13" spans="1:160" s="6" customFormat="1" ht="13.5" customHeight="1" outlineLevel="5" x14ac:dyDescent="0.35">
      <c r="A13" s="295"/>
      <c r="B13" s="295" t="s">
        <v>126</v>
      </c>
      <c r="C13" s="287" t="s">
        <v>134</v>
      </c>
      <c r="D13" s="287" t="s">
        <v>161</v>
      </c>
      <c r="E13" s="287" t="s">
        <v>164</v>
      </c>
      <c r="F13" s="287" t="s">
        <v>159</v>
      </c>
      <c r="G13" s="287" t="s">
        <v>160</v>
      </c>
      <c r="H13" s="287" t="s">
        <v>160</v>
      </c>
      <c r="I13" s="296" t="s">
        <v>159</v>
      </c>
      <c r="J13" s="288" t="s">
        <v>158</v>
      </c>
      <c r="K13" s="287" t="s">
        <v>158</v>
      </c>
      <c r="L13" s="289" t="s">
        <v>158</v>
      </c>
      <c r="M13" s="289" t="s">
        <v>158</v>
      </c>
      <c r="N13" s="289" t="s">
        <v>158</v>
      </c>
      <c r="O13" s="289" t="s">
        <v>158</v>
      </c>
      <c r="P13" s="290">
        <f t="shared" si="0"/>
        <v>0</v>
      </c>
      <c r="Q13" s="290" t="s">
        <v>67</v>
      </c>
      <c r="R13" s="290" t="s">
        <v>124</v>
      </c>
      <c r="S13" s="286" t="s">
        <v>156</v>
      </c>
      <c r="T13" s="286" t="s">
        <v>91</v>
      </c>
      <c r="U13" s="291" t="s">
        <v>15</v>
      </c>
      <c r="V13" s="292"/>
      <c r="W13" s="293"/>
      <c r="X13" s="293"/>
      <c r="Y13" s="293"/>
      <c r="Z13" s="293"/>
      <c r="AA13" s="293"/>
      <c r="AB13" s="293" t="s">
        <v>1122</v>
      </c>
      <c r="AC13" s="293"/>
      <c r="AD13" s="293"/>
      <c r="AE13" s="293"/>
      <c r="AF13" s="293"/>
      <c r="AG13" s="293"/>
      <c r="AH13" s="286" t="s">
        <v>179</v>
      </c>
      <c r="AI13" s="290" t="s">
        <v>124</v>
      </c>
      <c r="AJ13" s="290" t="s">
        <v>124</v>
      </c>
      <c r="AK13" s="290" t="s">
        <v>124</v>
      </c>
      <c r="AL13" s="290" t="s">
        <v>124</v>
      </c>
      <c r="AM13" s="290" t="s">
        <v>124</v>
      </c>
      <c r="AN13" s="290" t="s">
        <v>124</v>
      </c>
      <c r="AO13" s="290" t="s">
        <v>124</v>
      </c>
      <c r="AP13" s="290" t="s">
        <v>124</v>
      </c>
      <c r="AQ13" s="290" t="s">
        <v>124</v>
      </c>
      <c r="AR13" s="290" t="s">
        <v>124</v>
      </c>
      <c r="AS13" s="290" t="s">
        <v>124</v>
      </c>
      <c r="AT13" s="290" t="s">
        <v>124</v>
      </c>
      <c r="AU13" s="290" t="s">
        <v>124</v>
      </c>
      <c r="AV13" s="290" t="s">
        <v>124</v>
      </c>
      <c r="AW13" s="290" t="s">
        <v>124</v>
      </c>
      <c r="AX13" s="290" t="s">
        <v>124</v>
      </c>
      <c r="AY13" s="290" t="s">
        <v>124</v>
      </c>
      <c r="AZ13" s="290" t="s">
        <v>124</v>
      </c>
      <c r="BA13" s="290" t="s">
        <v>124</v>
      </c>
      <c r="BB13" s="290" t="s">
        <v>124</v>
      </c>
      <c r="BC13" s="290" t="s">
        <v>124</v>
      </c>
      <c r="BD13" s="290" t="s">
        <v>124</v>
      </c>
      <c r="BE13" s="290" t="s">
        <v>124</v>
      </c>
      <c r="BF13" s="290" t="s">
        <v>124</v>
      </c>
      <c r="BG13" s="290" t="s">
        <v>124</v>
      </c>
      <c r="BH13" s="290" t="s">
        <v>67</v>
      </c>
      <c r="BI13" s="290" t="s">
        <v>67</v>
      </c>
      <c r="BJ13" s="290" t="s">
        <v>67</v>
      </c>
      <c r="BK13" s="290" t="s">
        <v>124</v>
      </c>
      <c r="BL13" s="290" t="s">
        <v>124</v>
      </c>
      <c r="BM13" s="290" t="s">
        <v>124</v>
      </c>
      <c r="BN13" s="290" t="s">
        <v>124</v>
      </c>
      <c r="BO13" s="290" t="s">
        <v>124</v>
      </c>
      <c r="BP13" s="290" t="s">
        <v>124</v>
      </c>
      <c r="BQ13" s="290" t="s">
        <v>124</v>
      </c>
      <c r="BR13" s="290" t="s">
        <v>124</v>
      </c>
      <c r="BS13" s="290" t="s">
        <v>124</v>
      </c>
      <c r="BT13" s="290" t="s">
        <v>124</v>
      </c>
      <c r="BU13" s="290" t="s">
        <v>124</v>
      </c>
      <c r="BV13" s="290" t="s">
        <v>124</v>
      </c>
      <c r="BW13" s="290" t="s">
        <v>124</v>
      </c>
      <c r="BX13" s="290" t="s">
        <v>124</v>
      </c>
      <c r="BY13" s="290" t="s">
        <v>124</v>
      </c>
      <c r="BZ13" s="290" t="s">
        <v>124</v>
      </c>
      <c r="CA13" s="290" t="s">
        <v>124</v>
      </c>
      <c r="CB13" s="290" t="s">
        <v>124</v>
      </c>
      <c r="CC13" s="290" t="s">
        <v>124</v>
      </c>
      <c r="CD13" s="290" t="s">
        <v>124</v>
      </c>
      <c r="CE13" s="290" t="s">
        <v>124</v>
      </c>
      <c r="CF13" s="290" t="s">
        <v>124</v>
      </c>
      <c r="CG13" s="290" t="s">
        <v>124</v>
      </c>
      <c r="CH13" s="290" t="s">
        <v>124</v>
      </c>
      <c r="CI13" s="290" t="s">
        <v>124</v>
      </c>
      <c r="CJ13" s="290" t="s">
        <v>124</v>
      </c>
      <c r="CK13" s="290" t="s">
        <v>124</v>
      </c>
      <c r="CL13" s="290" t="s">
        <v>124</v>
      </c>
      <c r="CM13" s="290" t="s">
        <v>124</v>
      </c>
      <c r="CN13" s="290" t="s">
        <v>124</v>
      </c>
      <c r="CO13" s="290" t="s">
        <v>124</v>
      </c>
      <c r="CP13" s="290" t="s">
        <v>124</v>
      </c>
      <c r="CQ13" s="290" t="s">
        <v>124</v>
      </c>
      <c r="CR13" s="290" t="s">
        <v>124</v>
      </c>
      <c r="CS13" s="290" t="s">
        <v>124</v>
      </c>
      <c r="CT13" s="290" t="s">
        <v>124</v>
      </c>
      <c r="CU13" s="290" t="s">
        <v>124</v>
      </c>
      <c r="CV13" s="290" t="s">
        <v>124</v>
      </c>
      <c r="CW13" s="290" t="s">
        <v>124</v>
      </c>
      <c r="CX13" s="290" t="s">
        <v>124</v>
      </c>
      <c r="CY13" s="290" t="s">
        <v>124</v>
      </c>
      <c r="CZ13" s="290" t="s">
        <v>124</v>
      </c>
      <c r="DA13" s="290" t="s">
        <v>124</v>
      </c>
      <c r="DB13" s="290" t="s">
        <v>124</v>
      </c>
      <c r="DC13" s="290" t="s">
        <v>124</v>
      </c>
      <c r="DD13" s="290" t="s">
        <v>124</v>
      </c>
      <c r="DE13" s="290" t="s">
        <v>124</v>
      </c>
      <c r="DF13" s="290" t="s">
        <v>124</v>
      </c>
      <c r="DG13" s="290" t="s">
        <v>124</v>
      </c>
      <c r="DH13" s="290" t="s">
        <v>124</v>
      </c>
      <c r="DI13" s="290" t="s">
        <v>124</v>
      </c>
      <c r="DJ13" s="290" t="s">
        <v>124</v>
      </c>
      <c r="DK13" s="290" t="s">
        <v>124</v>
      </c>
      <c r="DL13" s="290" t="s">
        <v>124</v>
      </c>
      <c r="DM13" s="290" t="s">
        <v>124</v>
      </c>
      <c r="DN13" s="290" t="s">
        <v>124</v>
      </c>
      <c r="DO13" s="290" t="s">
        <v>124</v>
      </c>
      <c r="DP13" s="290" t="s">
        <v>124</v>
      </c>
      <c r="DQ13" s="290" t="s">
        <v>124</v>
      </c>
      <c r="DR13" s="290" t="s">
        <v>124</v>
      </c>
      <c r="DS13" s="290" t="s">
        <v>124</v>
      </c>
      <c r="DT13" s="290" t="s">
        <v>124</v>
      </c>
      <c r="DU13" s="290" t="s">
        <v>124</v>
      </c>
      <c r="DV13" s="290" t="s">
        <v>124</v>
      </c>
      <c r="DW13" s="290" t="s">
        <v>124</v>
      </c>
      <c r="DX13" s="290" t="s">
        <v>124</v>
      </c>
      <c r="DY13" s="290" t="s">
        <v>124</v>
      </c>
      <c r="DZ13" s="290" t="s">
        <v>124</v>
      </c>
      <c r="EA13" s="290" t="s">
        <v>124</v>
      </c>
      <c r="EB13" s="290" t="s">
        <v>124</v>
      </c>
      <c r="EC13" s="290" t="s">
        <v>124</v>
      </c>
      <c r="ED13" s="290" t="s">
        <v>124</v>
      </c>
      <c r="EE13" s="290" t="s">
        <v>124</v>
      </c>
      <c r="EF13" s="290" t="s">
        <v>124</v>
      </c>
      <c r="EG13" s="290" t="s">
        <v>124</v>
      </c>
      <c r="EH13" s="290" t="s">
        <v>124</v>
      </c>
      <c r="EI13" s="290" t="s">
        <v>124</v>
      </c>
      <c r="EJ13" s="290" t="s">
        <v>124</v>
      </c>
      <c r="EK13" s="290" t="s">
        <v>124</v>
      </c>
      <c r="EL13" s="290" t="s">
        <v>124</v>
      </c>
      <c r="EM13" s="290" t="s">
        <v>124</v>
      </c>
      <c r="EN13" s="290" t="s">
        <v>124</v>
      </c>
      <c r="EO13" s="290" t="s">
        <v>124</v>
      </c>
      <c r="EP13" s="290" t="s">
        <v>124</v>
      </c>
      <c r="EQ13" s="290" t="s">
        <v>124</v>
      </c>
      <c r="ER13" s="290" t="s">
        <v>124</v>
      </c>
      <c r="ES13" s="290" t="s">
        <v>124</v>
      </c>
      <c r="ET13" s="290" t="s">
        <v>124</v>
      </c>
      <c r="EU13" s="294" t="s">
        <v>124</v>
      </c>
      <c r="EV13" s="286" t="s">
        <v>1114</v>
      </c>
      <c r="EW13" s="286" t="s">
        <v>1115</v>
      </c>
      <c r="EX13" s="286" t="s">
        <v>1116</v>
      </c>
      <c r="EY13" s="286" t="s">
        <v>1117</v>
      </c>
      <c r="EZ13" s="286" t="s">
        <v>68</v>
      </c>
      <c r="FA13" s="286" t="s">
        <v>68</v>
      </c>
      <c r="FB13" s="286" t="s">
        <v>68</v>
      </c>
      <c r="FC13" s="286" t="s">
        <v>68</v>
      </c>
      <c r="FD13" s="286" t="s">
        <v>1118</v>
      </c>
    </row>
    <row r="14" spans="1:160" s="6" customFormat="1" ht="13.5" customHeight="1" outlineLevel="5" x14ac:dyDescent="0.35">
      <c r="A14" s="295"/>
      <c r="B14" s="295" t="s">
        <v>126</v>
      </c>
      <c r="C14" s="287" t="s">
        <v>134</v>
      </c>
      <c r="D14" s="287" t="s">
        <v>161</v>
      </c>
      <c r="E14" s="287" t="s">
        <v>164</v>
      </c>
      <c r="F14" s="287" t="s">
        <v>159</v>
      </c>
      <c r="G14" s="287" t="s">
        <v>160</v>
      </c>
      <c r="H14" s="287" t="s">
        <v>160</v>
      </c>
      <c r="I14" s="296" t="s">
        <v>160</v>
      </c>
      <c r="J14" s="288" t="s">
        <v>158</v>
      </c>
      <c r="K14" s="287" t="s">
        <v>158</v>
      </c>
      <c r="L14" s="289" t="s">
        <v>158</v>
      </c>
      <c r="M14" s="289" t="s">
        <v>158</v>
      </c>
      <c r="N14" s="289" t="s">
        <v>158</v>
      </c>
      <c r="O14" s="289" t="s">
        <v>158</v>
      </c>
      <c r="P14" s="290">
        <f t="shared" si="0"/>
        <v>0</v>
      </c>
      <c r="Q14" s="290" t="s">
        <v>67</v>
      </c>
      <c r="R14" s="290" t="s">
        <v>124</v>
      </c>
      <c r="S14" s="286" t="s">
        <v>156</v>
      </c>
      <c r="T14" s="286" t="s">
        <v>91</v>
      </c>
      <c r="U14" s="291" t="s">
        <v>17</v>
      </c>
      <c r="V14" s="292"/>
      <c r="W14" s="293"/>
      <c r="X14" s="293"/>
      <c r="Y14" s="293"/>
      <c r="Z14" s="293"/>
      <c r="AA14" s="293"/>
      <c r="AB14" s="293" t="s">
        <v>1123</v>
      </c>
      <c r="AC14" s="293"/>
      <c r="AD14" s="293"/>
      <c r="AE14" s="293"/>
      <c r="AF14" s="293"/>
      <c r="AG14" s="293"/>
      <c r="AH14" s="286" t="s">
        <v>180</v>
      </c>
      <c r="AI14" s="290" t="s">
        <v>124</v>
      </c>
      <c r="AJ14" s="290" t="s">
        <v>124</v>
      </c>
      <c r="AK14" s="290" t="s">
        <v>124</v>
      </c>
      <c r="AL14" s="290" t="s">
        <v>124</v>
      </c>
      <c r="AM14" s="290" t="s">
        <v>124</v>
      </c>
      <c r="AN14" s="290" t="s">
        <v>124</v>
      </c>
      <c r="AO14" s="290" t="s">
        <v>124</v>
      </c>
      <c r="AP14" s="290" t="s">
        <v>124</v>
      </c>
      <c r="AQ14" s="290" t="s">
        <v>124</v>
      </c>
      <c r="AR14" s="290" t="s">
        <v>124</v>
      </c>
      <c r="AS14" s="290" t="s">
        <v>124</v>
      </c>
      <c r="AT14" s="290" t="s">
        <v>124</v>
      </c>
      <c r="AU14" s="290" t="s">
        <v>124</v>
      </c>
      <c r="AV14" s="290" t="s">
        <v>124</v>
      </c>
      <c r="AW14" s="290" t="s">
        <v>124</v>
      </c>
      <c r="AX14" s="290" t="s">
        <v>124</v>
      </c>
      <c r="AY14" s="290" t="s">
        <v>124</v>
      </c>
      <c r="AZ14" s="290" t="s">
        <v>124</v>
      </c>
      <c r="BA14" s="290" t="s">
        <v>124</v>
      </c>
      <c r="BB14" s="290" t="s">
        <v>124</v>
      </c>
      <c r="BC14" s="290" t="s">
        <v>124</v>
      </c>
      <c r="BD14" s="290" t="s">
        <v>124</v>
      </c>
      <c r="BE14" s="290" t="s">
        <v>124</v>
      </c>
      <c r="BF14" s="290" t="s">
        <v>124</v>
      </c>
      <c r="BG14" s="290" t="s">
        <v>124</v>
      </c>
      <c r="BH14" s="290" t="s">
        <v>67</v>
      </c>
      <c r="BI14" s="290" t="s">
        <v>67</v>
      </c>
      <c r="BJ14" s="290" t="s">
        <v>67</v>
      </c>
      <c r="BK14" s="290" t="s">
        <v>124</v>
      </c>
      <c r="BL14" s="290" t="s">
        <v>124</v>
      </c>
      <c r="BM14" s="290" t="s">
        <v>124</v>
      </c>
      <c r="BN14" s="290" t="s">
        <v>124</v>
      </c>
      <c r="BO14" s="290" t="s">
        <v>124</v>
      </c>
      <c r="BP14" s="290" t="s">
        <v>124</v>
      </c>
      <c r="BQ14" s="290" t="s">
        <v>124</v>
      </c>
      <c r="BR14" s="290" t="s">
        <v>124</v>
      </c>
      <c r="BS14" s="290" t="s">
        <v>124</v>
      </c>
      <c r="BT14" s="290" t="s">
        <v>124</v>
      </c>
      <c r="BU14" s="290" t="s">
        <v>124</v>
      </c>
      <c r="BV14" s="290" t="s">
        <v>124</v>
      </c>
      <c r="BW14" s="290" t="s">
        <v>124</v>
      </c>
      <c r="BX14" s="290" t="s">
        <v>124</v>
      </c>
      <c r="BY14" s="290" t="s">
        <v>124</v>
      </c>
      <c r="BZ14" s="290" t="s">
        <v>124</v>
      </c>
      <c r="CA14" s="290" t="s">
        <v>124</v>
      </c>
      <c r="CB14" s="290" t="s">
        <v>124</v>
      </c>
      <c r="CC14" s="290" t="s">
        <v>124</v>
      </c>
      <c r="CD14" s="290" t="s">
        <v>124</v>
      </c>
      <c r="CE14" s="290" t="s">
        <v>124</v>
      </c>
      <c r="CF14" s="290" t="s">
        <v>124</v>
      </c>
      <c r="CG14" s="290" t="s">
        <v>124</v>
      </c>
      <c r="CH14" s="290" t="s">
        <v>124</v>
      </c>
      <c r="CI14" s="290" t="s">
        <v>124</v>
      </c>
      <c r="CJ14" s="290" t="s">
        <v>124</v>
      </c>
      <c r="CK14" s="290" t="s">
        <v>124</v>
      </c>
      <c r="CL14" s="290" t="s">
        <v>124</v>
      </c>
      <c r="CM14" s="290" t="s">
        <v>124</v>
      </c>
      <c r="CN14" s="290" t="s">
        <v>124</v>
      </c>
      <c r="CO14" s="290" t="s">
        <v>124</v>
      </c>
      <c r="CP14" s="290" t="s">
        <v>124</v>
      </c>
      <c r="CQ14" s="290" t="s">
        <v>124</v>
      </c>
      <c r="CR14" s="290" t="s">
        <v>124</v>
      </c>
      <c r="CS14" s="290" t="s">
        <v>124</v>
      </c>
      <c r="CT14" s="290" t="s">
        <v>124</v>
      </c>
      <c r="CU14" s="290" t="s">
        <v>124</v>
      </c>
      <c r="CV14" s="290" t="s">
        <v>124</v>
      </c>
      <c r="CW14" s="290" t="s">
        <v>124</v>
      </c>
      <c r="CX14" s="290" t="s">
        <v>124</v>
      </c>
      <c r="CY14" s="290" t="s">
        <v>124</v>
      </c>
      <c r="CZ14" s="290" t="s">
        <v>124</v>
      </c>
      <c r="DA14" s="290" t="s">
        <v>124</v>
      </c>
      <c r="DB14" s="290" t="s">
        <v>124</v>
      </c>
      <c r="DC14" s="290" t="s">
        <v>124</v>
      </c>
      <c r="DD14" s="290" t="s">
        <v>124</v>
      </c>
      <c r="DE14" s="290" t="s">
        <v>124</v>
      </c>
      <c r="DF14" s="290" t="s">
        <v>124</v>
      </c>
      <c r="DG14" s="290" t="s">
        <v>124</v>
      </c>
      <c r="DH14" s="290" t="s">
        <v>124</v>
      </c>
      <c r="DI14" s="290" t="s">
        <v>124</v>
      </c>
      <c r="DJ14" s="290" t="s">
        <v>124</v>
      </c>
      <c r="DK14" s="290" t="s">
        <v>124</v>
      </c>
      <c r="DL14" s="290" t="s">
        <v>124</v>
      </c>
      <c r="DM14" s="290" t="s">
        <v>124</v>
      </c>
      <c r="DN14" s="290" t="s">
        <v>124</v>
      </c>
      <c r="DO14" s="290" t="s">
        <v>124</v>
      </c>
      <c r="DP14" s="290" t="s">
        <v>124</v>
      </c>
      <c r="DQ14" s="290" t="s">
        <v>124</v>
      </c>
      <c r="DR14" s="290" t="s">
        <v>124</v>
      </c>
      <c r="DS14" s="290" t="s">
        <v>124</v>
      </c>
      <c r="DT14" s="290" t="s">
        <v>124</v>
      </c>
      <c r="DU14" s="290" t="s">
        <v>124</v>
      </c>
      <c r="DV14" s="290" t="s">
        <v>124</v>
      </c>
      <c r="DW14" s="290" t="s">
        <v>124</v>
      </c>
      <c r="DX14" s="290" t="s">
        <v>124</v>
      </c>
      <c r="DY14" s="290" t="s">
        <v>124</v>
      </c>
      <c r="DZ14" s="290" t="s">
        <v>124</v>
      </c>
      <c r="EA14" s="290" t="s">
        <v>124</v>
      </c>
      <c r="EB14" s="290" t="s">
        <v>124</v>
      </c>
      <c r="EC14" s="290" t="s">
        <v>124</v>
      </c>
      <c r="ED14" s="290" t="s">
        <v>124</v>
      </c>
      <c r="EE14" s="290" t="s">
        <v>124</v>
      </c>
      <c r="EF14" s="290" t="s">
        <v>124</v>
      </c>
      <c r="EG14" s="290" t="s">
        <v>124</v>
      </c>
      <c r="EH14" s="290" t="s">
        <v>124</v>
      </c>
      <c r="EI14" s="290" t="s">
        <v>124</v>
      </c>
      <c r="EJ14" s="290" t="s">
        <v>124</v>
      </c>
      <c r="EK14" s="290" t="s">
        <v>124</v>
      </c>
      <c r="EL14" s="290" t="s">
        <v>124</v>
      </c>
      <c r="EM14" s="290" t="s">
        <v>124</v>
      </c>
      <c r="EN14" s="290" t="s">
        <v>124</v>
      </c>
      <c r="EO14" s="290" t="s">
        <v>124</v>
      </c>
      <c r="EP14" s="290" t="s">
        <v>124</v>
      </c>
      <c r="EQ14" s="290" t="s">
        <v>124</v>
      </c>
      <c r="ER14" s="290" t="s">
        <v>124</v>
      </c>
      <c r="ES14" s="290" t="s">
        <v>124</v>
      </c>
      <c r="ET14" s="290" t="s">
        <v>124</v>
      </c>
      <c r="EU14" s="294" t="s">
        <v>124</v>
      </c>
      <c r="EV14" s="286" t="s">
        <v>1114</v>
      </c>
      <c r="EW14" s="286" t="s">
        <v>1115</v>
      </c>
      <c r="EX14" s="286" t="s">
        <v>1116</v>
      </c>
      <c r="EY14" s="286" t="s">
        <v>1117</v>
      </c>
      <c r="EZ14" s="286" t="s">
        <v>68</v>
      </c>
      <c r="FA14" s="286" t="s">
        <v>68</v>
      </c>
      <c r="FB14" s="286" t="s">
        <v>68</v>
      </c>
      <c r="FC14" s="286" t="s">
        <v>68</v>
      </c>
      <c r="FD14" s="286" t="s">
        <v>1118</v>
      </c>
    </row>
    <row r="15" spans="1:160" s="6" customFormat="1" ht="13.5" customHeight="1" outlineLevel="4" x14ac:dyDescent="0.35">
      <c r="A15" s="295"/>
      <c r="B15" s="295" t="s">
        <v>126</v>
      </c>
      <c r="C15" s="287" t="s">
        <v>134</v>
      </c>
      <c r="D15" s="287" t="s">
        <v>161</v>
      </c>
      <c r="E15" s="287" t="s">
        <v>164</v>
      </c>
      <c r="F15" s="287" t="s">
        <v>159</v>
      </c>
      <c r="G15" s="287" t="s">
        <v>160</v>
      </c>
      <c r="H15" s="287" t="s">
        <v>161</v>
      </c>
      <c r="I15" s="287" t="s">
        <v>158</v>
      </c>
      <c r="J15" s="288" t="s">
        <v>158</v>
      </c>
      <c r="K15" s="287" t="s">
        <v>158</v>
      </c>
      <c r="L15" s="289" t="s">
        <v>158</v>
      </c>
      <c r="M15" s="289" t="s">
        <v>158</v>
      </c>
      <c r="N15" s="289" t="s">
        <v>158</v>
      </c>
      <c r="O15" s="289" t="s">
        <v>158</v>
      </c>
      <c r="P15" s="290">
        <f t="shared" si="0"/>
        <v>0</v>
      </c>
      <c r="Q15" s="290" t="s">
        <v>67</v>
      </c>
      <c r="R15" s="290" t="s">
        <v>124</v>
      </c>
      <c r="S15" s="286" t="s">
        <v>156</v>
      </c>
      <c r="T15" s="286" t="s">
        <v>91</v>
      </c>
      <c r="U15" s="291" t="s">
        <v>19</v>
      </c>
      <c r="V15" s="292"/>
      <c r="W15" s="293"/>
      <c r="X15" s="293"/>
      <c r="Y15" s="293"/>
      <c r="Z15" s="293"/>
      <c r="AA15" s="293" t="s">
        <v>1124</v>
      </c>
      <c r="AB15" s="293"/>
      <c r="AC15" s="293"/>
      <c r="AD15" s="293"/>
      <c r="AE15" s="293"/>
      <c r="AF15" s="293"/>
      <c r="AG15" s="293"/>
      <c r="AH15" s="286" t="s">
        <v>181</v>
      </c>
      <c r="AI15" s="290" t="s">
        <v>124</v>
      </c>
      <c r="AJ15" s="290" t="s">
        <v>124</v>
      </c>
      <c r="AK15" s="290" t="s">
        <v>124</v>
      </c>
      <c r="AL15" s="290" t="s">
        <v>124</v>
      </c>
      <c r="AM15" s="290" t="s">
        <v>124</v>
      </c>
      <c r="AN15" s="290" t="s">
        <v>124</v>
      </c>
      <c r="AO15" s="290" t="s">
        <v>124</v>
      </c>
      <c r="AP15" s="290" t="s">
        <v>124</v>
      </c>
      <c r="AQ15" s="290" t="s">
        <v>124</v>
      </c>
      <c r="AR15" s="290" t="s">
        <v>124</v>
      </c>
      <c r="AS15" s="290" t="s">
        <v>124</v>
      </c>
      <c r="AT15" s="290" t="s">
        <v>124</v>
      </c>
      <c r="AU15" s="290" t="s">
        <v>124</v>
      </c>
      <c r="AV15" s="290" t="s">
        <v>124</v>
      </c>
      <c r="AW15" s="290" t="s">
        <v>124</v>
      </c>
      <c r="AX15" s="290" t="s">
        <v>124</v>
      </c>
      <c r="AY15" s="290" t="s">
        <v>124</v>
      </c>
      <c r="AZ15" s="290" t="s">
        <v>124</v>
      </c>
      <c r="BA15" s="290" t="s">
        <v>124</v>
      </c>
      <c r="BB15" s="290" t="s">
        <v>124</v>
      </c>
      <c r="BC15" s="290" t="s">
        <v>124</v>
      </c>
      <c r="BD15" s="290" t="s">
        <v>124</v>
      </c>
      <c r="BE15" s="290" t="s">
        <v>124</v>
      </c>
      <c r="BF15" s="290" t="s">
        <v>124</v>
      </c>
      <c r="BG15" s="290" t="s">
        <v>124</v>
      </c>
      <c r="BH15" s="290" t="s">
        <v>67</v>
      </c>
      <c r="BI15" s="290" t="s">
        <v>67</v>
      </c>
      <c r="BJ15" s="290" t="s">
        <v>67</v>
      </c>
      <c r="BK15" s="290" t="s">
        <v>124</v>
      </c>
      <c r="BL15" s="290" t="s">
        <v>124</v>
      </c>
      <c r="BM15" s="290" t="s">
        <v>124</v>
      </c>
      <c r="BN15" s="290" t="s">
        <v>124</v>
      </c>
      <c r="BO15" s="290" t="s">
        <v>124</v>
      </c>
      <c r="BP15" s="290" t="s">
        <v>124</v>
      </c>
      <c r="BQ15" s="290" t="s">
        <v>124</v>
      </c>
      <c r="BR15" s="290" t="s">
        <v>124</v>
      </c>
      <c r="BS15" s="290" t="s">
        <v>124</v>
      </c>
      <c r="BT15" s="290" t="s">
        <v>124</v>
      </c>
      <c r="BU15" s="290" t="s">
        <v>124</v>
      </c>
      <c r="BV15" s="290" t="s">
        <v>124</v>
      </c>
      <c r="BW15" s="290" t="s">
        <v>124</v>
      </c>
      <c r="BX15" s="290" t="s">
        <v>124</v>
      </c>
      <c r="BY15" s="290" t="s">
        <v>124</v>
      </c>
      <c r="BZ15" s="290" t="s">
        <v>124</v>
      </c>
      <c r="CA15" s="290" t="s">
        <v>124</v>
      </c>
      <c r="CB15" s="290" t="s">
        <v>124</v>
      </c>
      <c r="CC15" s="290" t="s">
        <v>124</v>
      </c>
      <c r="CD15" s="290" t="s">
        <v>124</v>
      </c>
      <c r="CE15" s="290" t="s">
        <v>124</v>
      </c>
      <c r="CF15" s="290" t="s">
        <v>124</v>
      </c>
      <c r="CG15" s="290" t="s">
        <v>124</v>
      </c>
      <c r="CH15" s="290" t="s">
        <v>124</v>
      </c>
      <c r="CI15" s="290" t="s">
        <v>124</v>
      </c>
      <c r="CJ15" s="290" t="s">
        <v>124</v>
      </c>
      <c r="CK15" s="290" t="s">
        <v>124</v>
      </c>
      <c r="CL15" s="290" t="s">
        <v>124</v>
      </c>
      <c r="CM15" s="290" t="s">
        <v>124</v>
      </c>
      <c r="CN15" s="290" t="s">
        <v>124</v>
      </c>
      <c r="CO15" s="290" t="s">
        <v>124</v>
      </c>
      <c r="CP15" s="290" t="s">
        <v>124</v>
      </c>
      <c r="CQ15" s="290" t="s">
        <v>124</v>
      </c>
      <c r="CR15" s="290" t="s">
        <v>124</v>
      </c>
      <c r="CS15" s="290" t="s">
        <v>124</v>
      </c>
      <c r="CT15" s="290" t="s">
        <v>124</v>
      </c>
      <c r="CU15" s="290" t="s">
        <v>124</v>
      </c>
      <c r="CV15" s="290" t="s">
        <v>124</v>
      </c>
      <c r="CW15" s="290" t="s">
        <v>124</v>
      </c>
      <c r="CX15" s="290" t="s">
        <v>124</v>
      </c>
      <c r="CY15" s="290" t="s">
        <v>124</v>
      </c>
      <c r="CZ15" s="290" t="s">
        <v>124</v>
      </c>
      <c r="DA15" s="290" t="s">
        <v>124</v>
      </c>
      <c r="DB15" s="290" t="s">
        <v>124</v>
      </c>
      <c r="DC15" s="290" t="s">
        <v>124</v>
      </c>
      <c r="DD15" s="290" t="s">
        <v>124</v>
      </c>
      <c r="DE15" s="290" t="s">
        <v>124</v>
      </c>
      <c r="DF15" s="290" t="s">
        <v>124</v>
      </c>
      <c r="DG15" s="290" t="s">
        <v>124</v>
      </c>
      <c r="DH15" s="290" t="s">
        <v>124</v>
      </c>
      <c r="DI15" s="290" t="s">
        <v>124</v>
      </c>
      <c r="DJ15" s="290" t="s">
        <v>124</v>
      </c>
      <c r="DK15" s="290" t="s">
        <v>124</v>
      </c>
      <c r="DL15" s="290" t="s">
        <v>124</v>
      </c>
      <c r="DM15" s="290" t="s">
        <v>124</v>
      </c>
      <c r="DN15" s="290" t="s">
        <v>124</v>
      </c>
      <c r="DO15" s="290" t="s">
        <v>124</v>
      </c>
      <c r="DP15" s="290" t="s">
        <v>124</v>
      </c>
      <c r="DQ15" s="290" t="s">
        <v>124</v>
      </c>
      <c r="DR15" s="290" t="s">
        <v>124</v>
      </c>
      <c r="DS15" s="290" t="s">
        <v>124</v>
      </c>
      <c r="DT15" s="290" t="s">
        <v>124</v>
      </c>
      <c r="DU15" s="290" t="s">
        <v>124</v>
      </c>
      <c r="DV15" s="290" t="s">
        <v>124</v>
      </c>
      <c r="DW15" s="290" t="s">
        <v>124</v>
      </c>
      <c r="DX15" s="290" t="s">
        <v>124</v>
      </c>
      <c r="DY15" s="290" t="s">
        <v>124</v>
      </c>
      <c r="DZ15" s="290" t="s">
        <v>124</v>
      </c>
      <c r="EA15" s="290" t="s">
        <v>124</v>
      </c>
      <c r="EB15" s="290" t="s">
        <v>124</v>
      </c>
      <c r="EC15" s="290" t="s">
        <v>124</v>
      </c>
      <c r="ED15" s="290" t="s">
        <v>124</v>
      </c>
      <c r="EE15" s="290" t="s">
        <v>124</v>
      </c>
      <c r="EF15" s="290" t="s">
        <v>124</v>
      </c>
      <c r="EG15" s="290" t="s">
        <v>124</v>
      </c>
      <c r="EH15" s="290" t="s">
        <v>124</v>
      </c>
      <c r="EI15" s="290" t="s">
        <v>124</v>
      </c>
      <c r="EJ15" s="290" t="s">
        <v>124</v>
      </c>
      <c r="EK15" s="290" t="s">
        <v>124</v>
      </c>
      <c r="EL15" s="290" t="s">
        <v>124</v>
      </c>
      <c r="EM15" s="290" t="s">
        <v>124</v>
      </c>
      <c r="EN15" s="290" t="s">
        <v>124</v>
      </c>
      <c r="EO15" s="290" t="s">
        <v>124</v>
      </c>
      <c r="EP15" s="290" t="s">
        <v>124</v>
      </c>
      <c r="EQ15" s="290" t="s">
        <v>124</v>
      </c>
      <c r="ER15" s="290" t="s">
        <v>124</v>
      </c>
      <c r="ES15" s="290" t="s">
        <v>124</v>
      </c>
      <c r="ET15" s="290" t="s">
        <v>124</v>
      </c>
      <c r="EU15" s="294" t="s">
        <v>124</v>
      </c>
      <c r="EV15" s="286" t="s">
        <v>1114</v>
      </c>
      <c r="EW15" s="286" t="s">
        <v>1115</v>
      </c>
      <c r="EX15" s="286" t="s">
        <v>1116</v>
      </c>
      <c r="EY15" s="286" t="s">
        <v>1117</v>
      </c>
      <c r="EZ15" s="286" t="s">
        <v>68</v>
      </c>
      <c r="FA15" s="286" t="s">
        <v>68</v>
      </c>
      <c r="FB15" s="286" t="s">
        <v>68</v>
      </c>
      <c r="FC15" s="286" t="s">
        <v>68</v>
      </c>
      <c r="FD15" s="286" t="s">
        <v>1118</v>
      </c>
    </row>
    <row r="16" spans="1:160" s="6" customFormat="1" ht="13.5" customHeight="1" outlineLevel="4" x14ac:dyDescent="0.35">
      <c r="A16" s="295"/>
      <c r="B16" s="295" t="s">
        <v>126</v>
      </c>
      <c r="C16" s="287" t="s">
        <v>134</v>
      </c>
      <c r="D16" s="287" t="s">
        <v>161</v>
      </c>
      <c r="E16" s="287" t="s">
        <v>164</v>
      </c>
      <c r="F16" s="287" t="s">
        <v>159</v>
      </c>
      <c r="G16" s="287" t="s">
        <v>160</v>
      </c>
      <c r="H16" s="287" t="s">
        <v>162</v>
      </c>
      <c r="I16" s="287" t="s">
        <v>158</v>
      </c>
      <c r="J16" s="288" t="s">
        <v>158</v>
      </c>
      <c r="K16" s="287" t="s">
        <v>158</v>
      </c>
      <c r="L16" s="289" t="s">
        <v>158</v>
      </c>
      <c r="M16" s="289" t="s">
        <v>158</v>
      </c>
      <c r="N16" s="289" t="s">
        <v>158</v>
      </c>
      <c r="O16" s="289" t="s">
        <v>158</v>
      </c>
      <c r="P16" s="290">
        <f t="shared" si="0"/>
        <v>0</v>
      </c>
      <c r="Q16" s="290" t="s">
        <v>67</v>
      </c>
      <c r="R16" s="290" t="s">
        <v>124</v>
      </c>
      <c r="S16" s="286" t="s">
        <v>156</v>
      </c>
      <c r="T16" s="286" t="s">
        <v>91</v>
      </c>
      <c r="U16" s="291" t="s">
        <v>21</v>
      </c>
      <c r="V16" s="292"/>
      <c r="W16" s="293"/>
      <c r="X16" s="293"/>
      <c r="Y16" s="293"/>
      <c r="Z16" s="293"/>
      <c r="AA16" s="293" t="s">
        <v>1125</v>
      </c>
      <c r="AB16" s="293"/>
      <c r="AC16" s="293"/>
      <c r="AD16" s="293"/>
      <c r="AE16" s="293"/>
      <c r="AF16" s="293"/>
      <c r="AG16" s="293"/>
      <c r="AH16" s="286" t="s">
        <v>182</v>
      </c>
      <c r="AI16" s="290" t="s">
        <v>124</v>
      </c>
      <c r="AJ16" s="290" t="s">
        <v>124</v>
      </c>
      <c r="AK16" s="290" t="s">
        <v>124</v>
      </c>
      <c r="AL16" s="290" t="s">
        <v>124</v>
      </c>
      <c r="AM16" s="290" t="s">
        <v>124</v>
      </c>
      <c r="AN16" s="290" t="s">
        <v>124</v>
      </c>
      <c r="AO16" s="290" t="s">
        <v>124</v>
      </c>
      <c r="AP16" s="290" t="s">
        <v>124</v>
      </c>
      <c r="AQ16" s="290" t="s">
        <v>124</v>
      </c>
      <c r="AR16" s="290" t="s">
        <v>124</v>
      </c>
      <c r="AS16" s="290" t="s">
        <v>124</v>
      </c>
      <c r="AT16" s="290" t="s">
        <v>124</v>
      </c>
      <c r="AU16" s="290" t="s">
        <v>124</v>
      </c>
      <c r="AV16" s="290" t="s">
        <v>124</v>
      </c>
      <c r="AW16" s="290" t="s">
        <v>124</v>
      </c>
      <c r="AX16" s="290" t="s">
        <v>124</v>
      </c>
      <c r="AY16" s="290" t="s">
        <v>124</v>
      </c>
      <c r="AZ16" s="290" t="s">
        <v>124</v>
      </c>
      <c r="BA16" s="290" t="s">
        <v>124</v>
      </c>
      <c r="BB16" s="290" t="s">
        <v>124</v>
      </c>
      <c r="BC16" s="290" t="s">
        <v>124</v>
      </c>
      <c r="BD16" s="290" t="s">
        <v>124</v>
      </c>
      <c r="BE16" s="290" t="s">
        <v>124</v>
      </c>
      <c r="BF16" s="290" t="s">
        <v>124</v>
      </c>
      <c r="BG16" s="290" t="s">
        <v>124</v>
      </c>
      <c r="BH16" s="290" t="s">
        <v>67</v>
      </c>
      <c r="BI16" s="290" t="s">
        <v>67</v>
      </c>
      <c r="BJ16" s="290" t="s">
        <v>67</v>
      </c>
      <c r="BK16" s="290" t="s">
        <v>124</v>
      </c>
      <c r="BL16" s="290" t="s">
        <v>124</v>
      </c>
      <c r="BM16" s="290" t="s">
        <v>124</v>
      </c>
      <c r="BN16" s="290" t="s">
        <v>124</v>
      </c>
      <c r="BO16" s="290" t="s">
        <v>124</v>
      </c>
      <c r="BP16" s="290" t="s">
        <v>124</v>
      </c>
      <c r="BQ16" s="290" t="s">
        <v>124</v>
      </c>
      <c r="BR16" s="290" t="s">
        <v>124</v>
      </c>
      <c r="BS16" s="290" t="s">
        <v>124</v>
      </c>
      <c r="BT16" s="290" t="s">
        <v>124</v>
      </c>
      <c r="BU16" s="290" t="s">
        <v>124</v>
      </c>
      <c r="BV16" s="290" t="s">
        <v>124</v>
      </c>
      <c r="BW16" s="290" t="s">
        <v>124</v>
      </c>
      <c r="BX16" s="290" t="s">
        <v>124</v>
      </c>
      <c r="BY16" s="290" t="s">
        <v>124</v>
      </c>
      <c r="BZ16" s="290" t="s">
        <v>124</v>
      </c>
      <c r="CA16" s="290" t="s">
        <v>124</v>
      </c>
      <c r="CB16" s="290" t="s">
        <v>124</v>
      </c>
      <c r="CC16" s="290" t="s">
        <v>124</v>
      </c>
      <c r="CD16" s="290" t="s">
        <v>124</v>
      </c>
      <c r="CE16" s="290" t="s">
        <v>124</v>
      </c>
      <c r="CF16" s="290" t="s">
        <v>124</v>
      </c>
      <c r="CG16" s="290" t="s">
        <v>124</v>
      </c>
      <c r="CH16" s="290" t="s">
        <v>124</v>
      </c>
      <c r="CI16" s="290" t="s">
        <v>124</v>
      </c>
      <c r="CJ16" s="290" t="s">
        <v>124</v>
      </c>
      <c r="CK16" s="290" t="s">
        <v>124</v>
      </c>
      <c r="CL16" s="290" t="s">
        <v>124</v>
      </c>
      <c r="CM16" s="290" t="s">
        <v>124</v>
      </c>
      <c r="CN16" s="290" t="s">
        <v>124</v>
      </c>
      <c r="CO16" s="290" t="s">
        <v>124</v>
      </c>
      <c r="CP16" s="290" t="s">
        <v>124</v>
      </c>
      <c r="CQ16" s="290" t="s">
        <v>124</v>
      </c>
      <c r="CR16" s="290" t="s">
        <v>124</v>
      </c>
      <c r="CS16" s="290" t="s">
        <v>124</v>
      </c>
      <c r="CT16" s="290" t="s">
        <v>124</v>
      </c>
      <c r="CU16" s="290" t="s">
        <v>124</v>
      </c>
      <c r="CV16" s="290" t="s">
        <v>124</v>
      </c>
      <c r="CW16" s="290" t="s">
        <v>124</v>
      </c>
      <c r="CX16" s="290" t="s">
        <v>124</v>
      </c>
      <c r="CY16" s="290" t="s">
        <v>124</v>
      </c>
      <c r="CZ16" s="290" t="s">
        <v>124</v>
      </c>
      <c r="DA16" s="290" t="s">
        <v>124</v>
      </c>
      <c r="DB16" s="290" t="s">
        <v>124</v>
      </c>
      <c r="DC16" s="290" t="s">
        <v>124</v>
      </c>
      <c r="DD16" s="290" t="s">
        <v>124</v>
      </c>
      <c r="DE16" s="290" t="s">
        <v>124</v>
      </c>
      <c r="DF16" s="290" t="s">
        <v>124</v>
      </c>
      <c r="DG16" s="290" t="s">
        <v>124</v>
      </c>
      <c r="DH16" s="290" t="s">
        <v>124</v>
      </c>
      <c r="DI16" s="290" t="s">
        <v>124</v>
      </c>
      <c r="DJ16" s="290" t="s">
        <v>124</v>
      </c>
      <c r="DK16" s="290" t="s">
        <v>124</v>
      </c>
      <c r="DL16" s="290" t="s">
        <v>124</v>
      </c>
      <c r="DM16" s="290" t="s">
        <v>124</v>
      </c>
      <c r="DN16" s="290" t="s">
        <v>124</v>
      </c>
      <c r="DO16" s="290" t="s">
        <v>124</v>
      </c>
      <c r="DP16" s="290" t="s">
        <v>124</v>
      </c>
      <c r="DQ16" s="290" t="s">
        <v>124</v>
      </c>
      <c r="DR16" s="290" t="s">
        <v>124</v>
      </c>
      <c r="DS16" s="290" t="s">
        <v>124</v>
      </c>
      <c r="DT16" s="290" t="s">
        <v>124</v>
      </c>
      <c r="DU16" s="290" t="s">
        <v>124</v>
      </c>
      <c r="DV16" s="290" t="s">
        <v>124</v>
      </c>
      <c r="DW16" s="290" t="s">
        <v>124</v>
      </c>
      <c r="DX16" s="290" t="s">
        <v>124</v>
      </c>
      <c r="DY16" s="290" t="s">
        <v>124</v>
      </c>
      <c r="DZ16" s="290" t="s">
        <v>124</v>
      </c>
      <c r="EA16" s="290" t="s">
        <v>124</v>
      </c>
      <c r="EB16" s="290" t="s">
        <v>124</v>
      </c>
      <c r="EC16" s="290" t="s">
        <v>124</v>
      </c>
      <c r="ED16" s="290" t="s">
        <v>124</v>
      </c>
      <c r="EE16" s="290" t="s">
        <v>124</v>
      </c>
      <c r="EF16" s="290" t="s">
        <v>124</v>
      </c>
      <c r="EG16" s="290" t="s">
        <v>124</v>
      </c>
      <c r="EH16" s="290" t="s">
        <v>124</v>
      </c>
      <c r="EI16" s="290" t="s">
        <v>124</v>
      </c>
      <c r="EJ16" s="290" t="s">
        <v>124</v>
      </c>
      <c r="EK16" s="290" t="s">
        <v>124</v>
      </c>
      <c r="EL16" s="290" t="s">
        <v>124</v>
      </c>
      <c r="EM16" s="290" t="s">
        <v>124</v>
      </c>
      <c r="EN16" s="290" t="s">
        <v>124</v>
      </c>
      <c r="EO16" s="290" t="s">
        <v>124</v>
      </c>
      <c r="EP16" s="290" t="s">
        <v>124</v>
      </c>
      <c r="EQ16" s="290" t="s">
        <v>124</v>
      </c>
      <c r="ER16" s="290" t="s">
        <v>124</v>
      </c>
      <c r="ES16" s="290" t="s">
        <v>124</v>
      </c>
      <c r="ET16" s="290" t="s">
        <v>124</v>
      </c>
      <c r="EU16" s="294" t="s">
        <v>124</v>
      </c>
      <c r="EV16" s="286" t="s">
        <v>1114</v>
      </c>
      <c r="EW16" s="286" t="s">
        <v>1115</v>
      </c>
      <c r="EX16" s="286" t="s">
        <v>1116</v>
      </c>
      <c r="EY16" s="286" t="s">
        <v>1117</v>
      </c>
      <c r="EZ16" s="286" t="s">
        <v>68</v>
      </c>
      <c r="FA16" s="286" t="s">
        <v>68</v>
      </c>
      <c r="FB16" s="286" t="s">
        <v>68</v>
      </c>
      <c r="FC16" s="286" t="s">
        <v>68</v>
      </c>
      <c r="FD16" s="286" t="s">
        <v>1118</v>
      </c>
    </row>
    <row r="17" spans="2:160" s="6" customFormat="1" ht="13.5" customHeight="1" outlineLevel="3" x14ac:dyDescent="0.35">
      <c r="B17" s="295" t="s">
        <v>126</v>
      </c>
      <c r="C17" s="287" t="s">
        <v>134</v>
      </c>
      <c r="D17" s="287" t="s">
        <v>161</v>
      </c>
      <c r="E17" s="287" t="s">
        <v>164</v>
      </c>
      <c r="F17" s="287" t="s">
        <v>159</v>
      </c>
      <c r="G17" s="287" t="s">
        <v>161</v>
      </c>
      <c r="H17" s="296" t="s">
        <v>158</v>
      </c>
      <c r="I17" s="296" t="s">
        <v>158</v>
      </c>
      <c r="J17" s="288" t="s">
        <v>158</v>
      </c>
      <c r="K17" s="287" t="s">
        <v>158</v>
      </c>
      <c r="L17" s="289" t="s">
        <v>158</v>
      </c>
      <c r="M17" s="289" t="s">
        <v>158</v>
      </c>
      <c r="N17" s="289" t="s">
        <v>158</v>
      </c>
      <c r="O17" s="289" t="s">
        <v>158</v>
      </c>
      <c r="P17" s="290">
        <f t="shared" si="0"/>
        <v>0</v>
      </c>
      <c r="Q17" s="290" t="s">
        <v>67</v>
      </c>
      <c r="R17" s="290" t="s">
        <v>124</v>
      </c>
      <c r="S17" s="286" t="s">
        <v>156</v>
      </c>
      <c r="T17" s="286" t="s">
        <v>91</v>
      </c>
      <c r="U17" s="291" t="s">
        <v>23</v>
      </c>
      <c r="V17" s="292"/>
      <c r="W17" s="293"/>
      <c r="X17" s="293"/>
      <c r="Y17" s="293"/>
      <c r="Z17" s="293" t="s">
        <v>1126</v>
      </c>
      <c r="AA17" s="293"/>
      <c r="AB17" s="293"/>
      <c r="AC17" s="293"/>
      <c r="AD17" s="293"/>
      <c r="AE17" s="293"/>
      <c r="AF17" s="293"/>
      <c r="AG17" s="293"/>
      <c r="AH17" s="286" t="s">
        <v>183</v>
      </c>
      <c r="AI17" s="290" t="s">
        <v>124</v>
      </c>
      <c r="AJ17" s="290" t="s">
        <v>124</v>
      </c>
      <c r="AK17" s="290" t="s">
        <v>124</v>
      </c>
      <c r="AL17" s="290" t="s">
        <v>124</v>
      </c>
      <c r="AM17" s="290" t="s">
        <v>124</v>
      </c>
      <c r="AN17" s="290" t="s">
        <v>124</v>
      </c>
      <c r="AO17" s="290" t="s">
        <v>124</v>
      </c>
      <c r="AP17" s="290" t="s">
        <v>124</v>
      </c>
      <c r="AQ17" s="290" t="s">
        <v>124</v>
      </c>
      <c r="AR17" s="290" t="s">
        <v>124</v>
      </c>
      <c r="AS17" s="290" t="s">
        <v>124</v>
      </c>
      <c r="AT17" s="290" t="s">
        <v>124</v>
      </c>
      <c r="AU17" s="290" t="s">
        <v>124</v>
      </c>
      <c r="AV17" s="290" t="s">
        <v>124</v>
      </c>
      <c r="AW17" s="290" t="s">
        <v>124</v>
      </c>
      <c r="AX17" s="290" t="s">
        <v>124</v>
      </c>
      <c r="AY17" s="290" t="s">
        <v>124</v>
      </c>
      <c r="AZ17" s="290" t="s">
        <v>124</v>
      </c>
      <c r="BA17" s="290" t="s">
        <v>124</v>
      </c>
      <c r="BB17" s="290" t="s">
        <v>124</v>
      </c>
      <c r="BC17" s="290" t="s">
        <v>124</v>
      </c>
      <c r="BD17" s="290" t="s">
        <v>124</v>
      </c>
      <c r="BE17" s="290" t="s">
        <v>124</v>
      </c>
      <c r="BF17" s="290" t="s">
        <v>124</v>
      </c>
      <c r="BG17" s="290" t="s">
        <v>124</v>
      </c>
      <c r="BH17" s="290" t="s">
        <v>67</v>
      </c>
      <c r="BI17" s="290" t="s">
        <v>67</v>
      </c>
      <c r="BJ17" s="290" t="s">
        <v>67</v>
      </c>
      <c r="BK17" s="290" t="s">
        <v>124</v>
      </c>
      <c r="BL17" s="290" t="s">
        <v>124</v>
      </c>
      <c r="BM17" s="290" t="s">
        <v>124</v>
      </c>
      <c r="BN17" s="290" t="s">
        <v>124</v>
      </c>
      <c r="BO17" s="290" t="s">
        <v>124</v>
      </c>
      <c r="BP17" s="290" t="s">
        <v>124</v>
      </c>
      <c r="BQ17" s="290" t="s">
        <v>124</v>
      </c>
      <c r="BR17" s="290" t="s">
        <v>124</v>
      </c>
      <c r="BS17" s="290" t="s">
        <v>124</v>
      </c>
      <c r="BT17" s="290" t="s">
        <v>124</v>
      </c>
      <c r="BU17" s="290" t="s">
        <v>124</v>
      </c>
      <c r="BV17" s="290" t="s">
        <v>124</v>
      </c>
      <c r="BW17" s="290" t="s">
        <v>124</v>
      </c>
      <c r="BX17" s="290" t="s">
        <v>124</v>
      </c>
      <c r="BY17" s="290" t="s">
        <v>124</v>
      </c>
      <c r="BZ17" s="290" t="s">
        <v>124</v>
      </c>
      <c r="CA17" s="290" t="s">
        <v>124</v>
      </c>
      <c r="CB17" s="290" t="s">
        <v>124</v>
      </c>
      <c r="CC17" s="290" t="s">
        <v>124</v>
      </c>
      <c r="CD17" s="290" t="s">
        <v>124</v>
      </c>
      <c r="CE17" s="290" t="s">
        <v>124</v>
      </c>
      <c r="CF17" s="290" t="s">
        <v>124</v>
      </c>
      <c r="CG17" s="290" t="s">
        <v>124</v>
      </c>
      <c r="CH17" s="290" t="s">
        <v>124</v>
      </c>
      <c r="CI17" s="290" t="s">
        <v>124</v>
      </c>
      <c r="CJ17" s="290" t="s">
        <v>124</v>
      </c>
      <c r="CK17" s="290" t="s">
        <v>124</v>
      </c>
      <c r="CL17" s="290" t="s">
        <v>124</v>
      </c>
      <c r="CM17" s="290" t="s">
        <v>124</v>
      </c>
      <c r="CN17" s="290" t="s">
        <v>124</v>
      </c>
      <c r="CO17" s="290" t="s">
        <v>124</v>
      </c>
      <c r="CP17" s="290" t="s">
        <v>124</v>
      </c>
      <c r="CQ17" s="290" t="s">
        <v>124</v>
      </c>
      <c r="CR17" s="290" t="s">
        <v>124</v>
      </c>
      <c r="CS17" s="290" t="s">
        <v>124</v>
      </c>
      <c r="CT17" s="290" t="s">
        <v>124</v>
      </c>
      <c r="CU17" s="290" t="s">
        <v>124</v>
      </c>
      <c r="CV17" s="290" t="s">
        <v>124</v>
      </c>
      <c r="CW17" s="290" t="s">
        <v>124</v>
      </c>
      <c r="CX17" s="290" t="s">
        <v>124</v>
      </c>
      <c r="CY17" s="290" t="s">
        <v>124</v>
      </c>
      <c r="CZ17" s="290" t="s">
        <v>124</v>
      </c>
      <c r="DA17" s="290" t="s">
        <v>124</v>
      </c>
      <c r="DB17" s="290" t="s">
        <v>124</v>
      </c>
      <c r="DC17" s="290" t="s">
        <v>124</v>
      </c>
      <c r="DD17" s="290" t="s">
        <v>124</v>
      </c>
      <c r="DE17" s="290" t="s">
        <v>124</v>
      </c>
      <c r="DF17" s="290" t="s">
        <v>124</v>
      </c>
      <c r="DG17" s="290" t="s">
        <v>124</v>
      </c>
      <c r="DH17" s="290" t="s">
        <v>124</v>
      </c>
      <c r="DI17" s="290" t="s">
        <v>124</v>
      </c>
      <c r="DJ17" s="290" t="s">
        <v>124</v>
      </c>
      <c r="DK17" s="290" t="s">
        <v>124</v>
      </c>
      <c r="DL17" s="290" t="s">
        <v>124</v>
      </c>
      <c r="DM17" s="290" t="s">
        <v>124</v>
      </c>
      <c r="DN17" s="290" t="s">
        <v>124</v>
      </c>
      <c r="DO17" s="290" t="s">
        <v>124</v>
      </c>
      <c r="DP17" s="290" t="s">
        <v>124</v>
      </c>
      <c r="DQ17" s="290" t="s">
        <v>124</v>
      </c>
      <c r="DR17" s="290" t="s">
        <v>124</v>
      </c>
      <c r="DS17" s="290" t="s">
        <v>124</v>
      </c>
      <c r="DT17" s="290" t="s">
        <v>124</v>
      </c>
      <c r="DU17" s="290" t="s">
        <v>124</v>
      </c>
      <c r="DV17" s="290" t="s">
        <v>124</v>
      </c>
      <c r="DW17" s="290" t="s">
        <v>124</v>
      </c>
      <c r="DX17" s="290" t="s">
        <v>124</v>
      </c>
      <c r="DY17" s="290" t="s">
        <v>124</v>
      </c>
      <c r="DZ17" s="290" t="s">
        <v>124</v>
      </c>
      <c r="EA17" s="290" t="s">
        <v>124</v>
      </c>
      <c r="EB17" s="290" t="s">
        <v>124</v>
      </c>
      <c r="EC17" s="290" t="s">
        <v>124</v>
      </c>
      <c r="ED17" s="290" t="s">
        <v>124</v>
      </c>
      <c r="EE17" s="290" t="s">
        <v>124</v>
      </c>
      <c r="EF17" s="290" t="s">
        <v>124</v>
      </c>
      <c r="EG17" s="290" t="s">
        <v>124</v>
      </c>
      <c r="EH17" s="290" t="s">
        <v>124</v>
      </c>
      <c r="EI17" s="290" t="s">
        <v>124</v>
      </c>
      <c r="EJ17" s="290" t="s">
        <v>124</v>
      </c>
      <c r="EK17" s="290" t="s">
        <v>124</v>
      </c>
      <c r="EL17" s="290" t="s">
        <v>124</v>
      </c>
      <c r="EM17" s="290" t="s">
        <v>124</v>
      </c>
      <c r="EN17" s="290" t="s">
        <v>124</v>
      </c>
      <c r="EO17" s="290" t="s">
        <v>124</v>
      </c>
      <c r="EP17" s="290" t="s">
        <v>124</v>
      </c>
      <c r="EQ17" s="290" t="s">
        <v>124</v>
      </c>
      <c r="ER17" s="290" t="s">
        <v>124</v>
      </c>
      <c r="ES17" s="290" t="s">
        <v>124</v>
      </c>
      <c r="ET17" s="290" t="s">
        <v>124</v>
      </c>
      <c r="EU17" s="294" t="s">
        <v>124</v>
      </c>
      <c r="EV17" s="286" t="s">
        <v>1114</v>
      </c>
      <c r="EW17" s="286" t="s">
        <v>1115</v>
      </c>
      <c r="EX17" s="286" t="s">
        <v>1116</v>
      </c>
      <c r="EY17" s="286" t="s">
        <v>1117</v>
      </c>
      <c r="EZ17" s="286" t="s">
        <v>68</v>
      </c>
      <c r="FA17" s="286" t="s">
        <v>68</v>
      </c>
      <c r="FB17" s="286" t="s">
        <v>68</v>
      </c>
      <c r="FC17" s="286" t="s">
        <v>68</v>
      </c>
      <c r="FD17" s="286" t="s">
        <v>1118</v>
      </c>
    </row>
    <row r="18" spans="2:160" s="6" customFormat="1" ht="13.5" customHeight="1" outlineLevel="3" x14ac:dyDescent="0.35">
      <c r="B18" s="295" t="s">
        <v>126</v>
      </c>
      <c r="C18" s="287" t="s">
        <v>134</v>
      </c>
      <c r="D18" s="287" t="s">
        <v>161</v>
      </c>
      <c r="E18" s="287" t="s">
        <v>164</v>
      </c>
      <c r="F18" s="287" t="s">
        <v>159</v>
      </c>
      <c r="G18" s="287" t="s">
        <v>162</v>
      </c>
      <c r="H18" s="296" t="s">
        <v>158</v>
      </c>
      <c r="I18" s="296" t="s">
        <v>158</v>
      </c>
      <c r="J18" s="288" t="s">
        <v>158</v>
      </c>
      <c r="K18" s="287" t="s">
        <v>158</v>
      </c>
      <c r="L18" s="289" t="s">
        <v>158</v>
      </c>
      <c r="M18" s="289" t="s">
        <v>158</v>
      </c>
      <c r="N18" s="289" t="s">
        <v>158</v>
      </c>
      <c r="O18" s="289" t="s">
        <v>158</v>
      </c>
      <c r="P18" s="290">
        <f t="shared" si="0"/>
        <v>0</v>
      </c>
      <c r="Q18" s="290" t="s">
        <v>67</v>
      </c>
      <c r="R18" s="290" t="s">
        <v>124</v>
      </c>
      <c r="S18" s="286" t="s">
        <v>156</v>
      </c>
      <c r="T18" s="286" t="s">
        <v>91</v>
      </c>
      <c r="U18" s="291" t="s">
        <v>106</v>
      </c>
      <c r="V18" s="292"/>
      <c r="W18" s="293"/>
      <c r="X18" s="293"/>
      <c r="Y18" s="293"/>
      <c r="Z18" s="293" t="s">
        <v>1127</v>
      </c>
      <c r="AA18" s="293"/>
      <c r="AB18" s="293"/>
      <c r="AC18" s="293"/>
      <c r="AD18" s="293"/>
      <c r="AE18" s="293"/>
      <c r="AF18" s="293"/>
      <c r="AG18" s="293"/>
      <c r="AH18" s="286" t="s">
        <v>184</v>
      </c>
      <c r="AI18" s="290" t="s">
        <v>124</v>
      </c>
      <c r="AJ18" s="290" t="s">
        <v>124</v>
      </c>
      <c r="AK18" s="290" t="s">
        <v>124</v>
      </c>
      <c r="AL18" s="290" t="s">
        <v>124</v>
      </c>
      <c r="AM18" s="290" t="s">
        <v>124</v>
      </c>
      <c r="AN18" s="290" t="s">
        <v>124</v>
      </c>
      <c r="AO18" s="290" t="s">
        <v>124</v>
      </c>
      <c r="AP18" s="290" t="s">
        <v>124</v>
      </c>
      <c r="AQ18" s="290" t="s">
        <v>124</v>
      </c>
      <c r="AR18" s="290" t="s">
        <v>124</v>
      </c>
      <c r="AS18" s="290" t="s">
        <v>124</v>
      </c>
      <c r="AT18" s="290" t="s">
        <v>124</v>
      </c>
      <c r="AU18" s="290" t="s">
        <v>124</v>
      </c>
      <c r="AV18" s="290" t="s">
        <v>124</v>
      </c>
      <c r="AW18" s="290" t="s">
        <v>124</v>
      </c>
      <c r="AX18" s="290" t="s">
        <v>124</v>
      </c>
      <c r="AY18" s="290" t="s">
        <v>124</v>
      </c>
      <c r="AZ18" s="290" t="s">
        <v>124</v>
      </c>
      <c r="BA18" s="290" t="s">
        <v>124</v>
      </c>
      <c r="BB18" s="290" t="s">
        <v>124</v>
      </c>
      <c r="BC18" s="290" t="s">
        <v>124</v>
      </c>
      <c r="BD18" s="290" t="s">
        <v>124</v>
      </c>
      <c r="BE18" s="290" t="s">
        <v>124</v>
      </c>
      <c r="BF18" s="290" t="s">
        <v>124</v>
      </c>
      <c r="BG18" s="290" t="s">
        <v>124</v>
      </c>
      <c r="BH18" s="290" t="s">
        <v>67</v>
      </c>
      <c r="BI18" s="290" t="s">
        <v>67</v>
      </c>
      <c r="BJ18" s="290" t="s">
        <v>67</v>
      </c>
      <c r="BK18" s="290" t="s">
        <v>124</v>
      </c>
      <c r="BL18" s="290" t="s">
        <v>124</v>
      </c>
      <c r="BM18" s="290" t="s">
        <v>124</v>
      </c>
      <c r="BN18" s="290" t="s">
        <v>124</v>
      </c>
      <c r="BO18" s="290" t="s">
        <v>124</v>
      </c>
      <c r="BP18" s="290" t="s">
        <v>124</v>
      </c>
      <c r="BQ18" s="290" t="s">
        <v>124</v>
      </c>
      <c r="BR18" s="290" t="s">
        <v>124</v>
      </c>
      <c r="BS18" s="290" t="s">
        <v>124</v>
      </c>
      <c r="BT18" s="290" t="s">
        <v>124</v>
      </c>
      <c r="BU18" s="290" t="s">
        <v>124</v>
      </c>
      <c r="BV18" s="290" t="s">
        <v>124</v>
      </c>
      <c r="BW18" s="290" t="s">
        <v>124</v>
      </c>
      <c r="BX18" s="290" t="s">
        <v>124</v>
      </c>
      <c r="BY18" s="290" t="s">
        <v>124</v>
      </c>
      <c r="BZ18" s="290" t="s">
        <v>124</v>
      </c>
      <c r="CA18" s="290" t="s">
        <v>124</v>
      </c>
      <c r="CB18" s="290" t="s">
        <v>124</v>
      </c>
      <c r="CC18" s="290" t="s">
        <v>124</v>
      </c>
      <c r="CD18" s="290" t="s">
        <v>124</v>
      </c>
      <c r="CE18" s="290" t="s">
        <v>124</v>
      </c>
      <c r="CF18" s="290" t="s">
        <v>124</v>
      </c>
      <c r="CG18" s="290" t="s">
        <v>124</v>
      </c>
      <c r="CH18" s="290" t="s">
        <v>124</v>
      </c>
      <c r="CI18" s="290" t="s">
        <v>124</v>
      </c>
      <c r="CJ18" s="290" t="s">
        <v>124</v>
      </c>
      <c r="CK18" s="290" t="s">
        <v>124</v>
      </c>
      <c r="CL18" s="290" t="s">
        <v>124</v>
      </c>
      <c r="CM18" s="290" t="s">
        <v>124</v>
      </c>
      <c r="CN18" s="290" t="s">
        <v>124</v>
      </c>
      <c r="CO18" s="290" t="s">
        <v>124</v>
      </c>
      <c r="CP18" s="290" t="s">
        <v>124</v>
      </c>
      <c r="CQ18" s="290" t="s">
        <v>124</v>
      </c>
      <c r="CR18" s="290" t="s">
        <v>124</v>
      </c>
      <c r="CS18" s="290" t="s">
        <v>124</v>
      </c>
      <c r="CT18" s="290" t="s">
        <v>124</v>
      </c>
      <c r="CU18" s="290" t="s">
        <v>124</v>
      </c>
      <c r="CV18" s="290" t="s">
        <v>124</v>
      </c>
      <c r="CW18" s="290" t="s">
        <v>124</v>
      </c>
      <c r="CX18" s="290" t="s">
        <v>124</v>
      </c>
      <c r="CY18" s="290" t="s">
        <v>124</v>
      </c>
      <c r="CZ18" s="290" t="s">
        <v>124</v>
      </c>
      <c r="DA18" s="290" t="s">
        <v>124</v>
      </c>
      <c r="DB18" s="290" t="s">
        <v>124</v>
      </c>
      <c r="DC18" s="290" t="s">
        <v>124</v>
      </c>
      <c r="DD18" s="290" t="s">
        <v>124</v>
      </c>
      <c r="DE18" s="290" t="s">
        <v>124</v>
      </c>
      <c r="DF18" s="290" t="s">
        <v>124</v>
      </c>
      <c r="DG18" s="290" t="s">
        <v>124</v>
      </c>
      <c r="DH18" s="290" t="s">
        <v>124</v>
      </c>
      <c r="DI18" s="290" t="s">
        <v>124</v>
      </c>
      <c r="DJ18" s="290" t="s">
        <v>124</v>
      </c>
      <c r="DK18" s="290" t="s">
        <v>124</v>
      </c>
      <c r="DL18" s="290" t="s">
        <v>124</v>
      </c>
      <c r="DM18" s="290" t="s">
        <v>124</v>
      </c>
      <c r="DN18" s="290" t="s">
        <v>124</v>
      </c>
      <c r="DO18" s="290" t="s">
        <v>124</v>
      </c>
      <c r="DP18" s="290" t="s">
        <v>124</v>
      </c>
      <c r="DQ18" s="290" t="s">
        <v>124</v>
      </c>
      <c r="DR18" s="290" t="s">
        <v>124</v>
      </c>
      <c r="DS18" s="290" t="s">
        <v>124</v>
      </c>
      <c r="DT18" s="290" t="s">
        <v>124</v>
      </c>
      <c r="DU18" s="290" t="s">
        <v>124</v>
      </c>
      <c r="DV18" s="290" t="s">
        <v>124</v>
      </c>
      <c r="DW18" s="290" t="s">
        <v>124</v>
      </c>
      <c r="DX18" s="290" t="s">
        <v>124</v>
      </c>
      <c r="DY18" s="290" t="s">
        <v>124</v>
      </c>
      <c r="DZ18" s="290" t="s">
        <v>124</v>
      </c>
      <c r="EA18" s="290" t="s">
        <v>124</v>
      </c>
      <c r="EB18" s="290" t="s">
        <v>124</v>
      </c>
      <c r="EC18" s="290" t="s">
        <v>124</v>
      </c>
      <c r="ED18" s="290" t="s">
        <v>124</v>
      </c>
      <c r="EE18" s="290" t="s">
        <v>124</v>
      </c>
      <c r="EF18" s="290" t="s">
        <v>124</v>
      </c>
      <c r="EG18" s="290" t="s">
        <v>124</v>
      </c>
      <c r="EH18" s="290" t="s">
        <v>124</v>
      </c>
      <c r="EI18" s="290" t="s">
        <v>124</v>
      </c>
      <c r="EJ18" s="290" t="s">
        <v>124</v>
      </c>
      <c r="EK18" s="290" t="s">
        <v>124</v>
      </c>
      <c r="EL18" s="290" t="s">
        <v>124</v>
      </c>
      <c r="EM18" s="290" t="s">
        <v>124</v>
      </c>
      <c r="EN18" s="290" t="s">
        <v>124</v>
      </c>
      <c r="EO18" s="290" t="s">
        <v>124</v>
      </c>
      <c r="EP18" s="290" t="s">
        <v>124</v>
      </c>
      <c r="EQ18" s="290" t="s">
        <v>124</v>
      </c>
      <c r="ER18" s="290" t="s">
        <v>124</v>
      </c>
      <c r="ES18" s="290" t="s">
        <v>124</v>
      </c>
      <c r="ET18" s="290" t="s">
        <v>124</v>
      </c>
      <c r="EU18" s="294" t="s">
        <v>124</v>
      </c>
      <c r="EV18" s="286" t="s">
        <v>1114</v>
      </c>
      <c r="EW18" s="286" t="s">
        <v>1115</v>
      </c>
      <c r="EX18" s="286" t="s">
        <v>1116</v>
      </c>
      <c r="EY18" s="286" t="s">
        <v>1117</v>
      </c>
      <c r="EZ18" s="286" t="s">
        <v>68</v>
      </c>
      <c r="FA18" s="286" t="s">
        <v>68</v>
      </c>
      <c r="FB18" s="286" t="s">
        <v>68</v>
      </c>
      <c r="FC18" s="286" t="s">
        <v>68</v>
      </c>
      <c r="FD18" s="286" t="s">
        <v>1118</v>
      </c>
    </row>
    <row r="19" spans="2:160" s="6" customFormat="1" ht="13.5" customHeight="1" outlineLevel="3" x14ac:dyDescent="0.35">
      <c r="B19" s="295" t="s">
        <v>126</v>
      </c>
      <c r="C19" s="287" t="s">
        <v>134</v>
      </c>
      <c r="D19" s="287" t="s">
        <v>161</v>
      </c>
      <c r="E19" s="287" t="s">
        <v>164</v>
      </c>
      <c r="F19" s="287" t="s">
        <v>159</v>
      </c>
      <c r="G19" s="287" t="s">
        <v>163</v>
      </c>
      <c r="H19" s="296" t="s">
        <v>158</v>
      </c>
      <c r="I19" s="296" t="s">
        <v>158</v>
      </c>
      <c r="J19" s="288" t="s">
        <v>158</v>
      </c>
      <c r="K19" s="287" t="s">
        <v>158</v>
      </c>
      <c r="L19" s="289" t="s">
        <v>158</v>
      </c>
      <c r="M19" s="289" t="s">
        <v>158</v>
      </c>
      <c r="N19" s="289" t="s">
        <v>158</v>
      </c>
      <c r="O19" s="289" t="s">
        <v>158</v>
      </c>
      <c r="P19" s="290">
        <f t="shared" si="0"/>
        <v>0</v>
      </c>
      <c r="Q19" s="290" t="s">
        <v>67</v>
      </c>
      <c r="R19" s="290" t="s">
        <v>124</v>
      </c>
      <c r="S19" s="286" t="s">
        <v>156</v>
      </c>
      <c r="T19" s="286" t="s">
        <v>91</v>
      </c>
      <c r="U19" s="291" t="s">
        <v>101</v>
      </c>
      <c r="V19" s="292"/>
      <c r="W19" s="293"/>
      <c r="X19" s="293"/>
      <c r="Y19" s="293"/>
      <c r="Z19" s="293" t="s">
        <v>1128</v>
      </c>
      <c r="AA19" s="293"/>
      <c r="AB19" s="293"/>
      <c r="AC19" s="293"/>
      <c r="AD19" s="293"/>
      <c r="AE19" s="293"/>
      <c r="AF19" s="293"/>
      <c r="AG19" s="293"/>
      <c r="AH19" s="286" t="s">
        <v>185</v>
      </c>
      <c r="AI19" s="290" t="s">
        <v>124</v>
      </c>
      <c r="AJ19" s="290" t="s">
        <v>124</v>
      </c>
      <c r="AK19" s="290" t="s">
        <v>124</v>
      </c>
      <c r="AL19" s="290" t="s">
        <v>124</v>
      </c>
      <c r="AM19" s="290" t="s">
        <v>124</v>
      </c>
      <c r="AN19" s="290" t="s">
        <v>124</v>
      </c>
      <c r="AO19" s="290" t="s">
        <v>124</v>
      </c>
      <c r="AP19" s="290" t="s">
        <v>124</v>
      </c>
      <c r="AQ19" s="290" t="s">
        <v>124</v>
      </c>
      <c r="AR19" s="290" t="s">
        <v>124</v>
      </c>
      <c r="AS19" s="290" t="s">
        <v>124</v>
      </c>
      <c r="AT19" s="290" t="s">
        <v>124</v>
      </c>
      <c r="AU19" s="290" t="s">
        <v>124</v>
      </c>
      <c r="AV19" s="290" t="s">
        <v>124</v>
      </c>
      <c r="AW19" s="290" t="s">
        <v>124</v>
      </c>
      <c r="AX19" s="290" t="s">
        <v>124</v>
      </c>
      <c r="AY19" s="290" t="s">
        <v>124</v>
      </c>
      <c r="AZ19" s="290" t="s">
        <v>124</v>
      </c>
      <c r="BA19" s="290" t="s">
        <v>124</v>
      </c>
      <c r="BB19" s="290" t="s">
        <v>124</v>
      </c>
      <c r="BC19" s="290" t="s">
        <v>124</v>
      </c>
      <c r="BD19" s="290" t="s">
        <v>124</v>
      </c>
      <c r="BE19" s="290" t="s">
        <v>124</v>
      </c>
      <c r="BF19" s="290" t="s">
        <v>124</v>
      </c>
      <c r="BG19" s="290" t="s">
        <v>124</v>
      </c>
      <c r="BH19" s="290" t="s">
        <v>67</v>
      </c>
      <c r="BI19" s="290" t="s">
        <v>67</v>
      </c>
      <c r="BJ19" s="290" t="s">
        <v>67</v>
      </c>
      <c r="BK19" s="290" t="s">
        <v>124</v>
      </c>
      <c r="BL19" s="290" t="s">
        <v>124</v>
      </c>
      <c r="BM19" s="290" t="s">
        <v>124</v>
      </c>
      <c r="BN19" s="290" t="s">
        <v>124</v>
      </c>
      <c r="BO19" s="290" t="s">
        <v>124</v>
      </c>
      <c r="BP19" s="290" t="s">
        <v>124</v>
      </c>
      <c r="BQ19" s="290" t="s">
        <v>124</v>
      </c>
      <c r="BR19" s="290" t="s">
        <v>124</v>
      </c>
      <c r="BS19" s="290" t="s">
        <v>124</v>
      </c>
      <c r="BT19" s="290" t="s">
        <v>124</v>
      </c>
      <c r="BU19" s="290" t="s">
        <v>124</v>
      </c>
      <c r="BV19" s="290" t="s">
        <v>124</v>
      </c>
      <c r="BW19" s="290" t="s">
        <v>124</v>
      </c>
      <c r="BX19" s="290" t="s">
        <v>124</v>
      </c>
      <c r="BY19" s="290" t="s">
        <v>124</v>
      </c>
      <c r="BZ19" s="290" t="s">
        <v>124</v>
      </c>
      <c r="CA19" s="290" t="s">
        <v>124</v>
      </c>
      <c r="CB19" s="290" t="s">
        <v>124</v>
      </c>
      <c r="CC19" s="290" t="s">
        <v>124</v>
      </c>
      <c r="CD19" s="290" t="s">
        <v>124</v>
      </c>
      <c r="CE19" s="290" t="s">
        <v>124</v>
      </c>
      <c r="CF19" s="290" t="s">
        <v>124</v>
      </c>
      <c r="CG19" s="290" t="s">
        <v>124</v>
      </c>
      <c r="CH19" s="290" t="s">
        <v>124</v>
      </c>
      <c r="CI19" s="290" t="s">
        <v>124</v>
      </c>
      <c r="CJ19" s="290" t="s">
        <v>124</v>
      </c>
      <c r="CK19" s="290" t="s">
        <v>124</v>
      </c>
      <c r="CL19" s="290" t="s">
        <v>124</v>
      </c>
      <c r="CM19" s="290" t="s">
        <v>124</v>
      </c>
      <c r="CN19" s="290" t="s">
        <v>124</v>
      </c>
      <c r="CO19" s="290" t="s">
        <v>124</v>
      </c>
      <c r="CP19" s="290" t="s">
        <v>124</v>
      </c>
      <c r="CQ19" s="290" t="s">
        <v>124</v>
      </c>
      <c r="CR19" s="290" t="s">
        <v>124</v>
      </c>
      <c r="CS19" s="290" t="s">
        <v>124</v>
      </c>
      <c r="CT19" s="290" t="s">
        <v>124</v>
      </c>
      <c r="CU19" s="290" t="s">
        <v>124</v>
      </c>
      <c r="CV19" s="290" t="s">
        <v>124</v>
      </c>
      <c r="CW19" s="290" t="s">
        <v>124</v>
      </c>
      <c r="CX19" s="290" t="s">
        <v>124</v>
      </c>
      <c r="CY19" s="290" t="s">
        <v>124</v>
      </c>
      <c r="CZ19" s="290" t="s">
        <v>124</v>
      </c>
      <c r="DA19" s="290" t="s">
        <v>124</v>
      </c>
      <c r="DB19" s="290" t="s">
        <v>124</v>
      </c>
      <c r="DC19" s="290" t="s">
        <v>124</v>
      </c>
      <c r="DD19" s="290" t="s">
        <v>124</v>
      </c>
      <c r="DE19" s="290" t="s">
        <v>124</v>
      </c>
      <c r="DF19" s="290" t="s">
        <v>124</v>
      </c>
      <c r="DG19" s="290" t="s">
        <v>124</v>
      </c>
      <c r="DH19" s="290" t="s">
        <v>124</v>
      </c>
      <c r="DI19" s="290" t="s">
        <v>124</v>
      </c>
      <c r="DJ19" s="290" t="s">
        <v>124</v>
      </c>
      <c r="DK19" s="290" t="s">
        <v>124</v>
      </c>
      <c r="DL19" s="290" t="s">
        <v>124</v>
      </c>
      <c r="DM19" s="290" t="s">
        <v>124</v>
      </c>
      <c r="DN19" s="290" t="s">
        <v>124</v>
      </c>
      <c r="DO19" s="290" t="s">
        <v>124</v>
      </c>
      <c r="DP19" s="290" t="s">
        <v>124</v>
      </c>
      <c r="DQ19" s="290" t="s">
        <v>124</v>
      </c>
      <c r="DR19" s="290" t="s">
        <v>124</v>
      </c>
      <c r="DS19" s="290" t="s">
        <v>124</v>
      </c>
      <c r="DT19" s="290" t="s">
        <v>124</v>
      </c>
      <c r="DU19" s="290" t="s">
        <v>124</v>
      </c>
      <c r="DV19" s="290" t="s">
        <v>124</v>
      </c>
      <c r="DW19" s="290" t="s">
        <v>124</v>
      </c>
      <c r="DX19" s="290" t="s">
        <v>124</v>
      </c>
      <c r="DY19" s="290" t="s">
        <v>124</v>
      </c>
      <c r="DZ19" s="290" t="s">
        <v>124</v>
      </c>
      <c r="EA19" s="290" t="s">
        <v>124</v>
      </c>
      <c r="EB19" s="290" t="s">
        <v>124</v>
      </c>
      <c r="EC19" s="290" t="s">
        <v>124</v>
      </c>
      <c r="ED19" s="290" t="s">
        <v>124</v>
      </c>
      <c r="EE19" s="290" t="s">
        <v>124</v>
      </c>
      <c r="EF19" s="290" t="s">
        <v>124</v>
      </c>
      <c r="EG19" s="290" t="s">
        <v>124</v>
      </c>
      <c r="EH19" s="290" t="s">
        <v>124</v>
      </c>
      <c r="EI19" s="290" t="s">
        <v>124</v>
      </c>
      <c r="EJ19" s="290" t="s">
        <v>124</v>
      </c>
      <c r="EK19" s="290" t="s">
        <v>124</v>
      </c>
      <c r="EL19" s="290" t="s">
        <v>124</v>
      </c>
      <c r="EM19" s="290" t="s">
        <v>124</v>
      </c>
      <c r="EN19" s="290" t="s">
        <v>124</v>
      </c>
      <c r="EO19" s="290" t="s">
        <v>124</v>
      </c>
      <c r="EP19" s="290" t="s">
        <v>124</v>
      </c>
      <c r="EQ19" s="290" t="s">
        <v>124</v>
      </c>
      <c r="ER19" s="290" t="s">
        <v>124</v>
      </c>
      <c r="ES19" s="290" t="s">
        <v>124</v>
      </c>
      <c r="ET19" s="290" t="s">
        <v>124</v>
      </c>
      <c r="EU19" s="294" t="s">
        <v>124</v>
      </c>
      <c r="EV19" s="286" t="s">
        <v>1114</v>
      </c>
      <c r="EW19" s="286" t="s">
        <v>1115</v>
      </c>
      <c r="EX19" s="286" t="s">
        <v>1116</v>
      </c>
      <c r="EY19" s="286" t="s">
        <v>1117</v>
      </c>
      <c r="EZ19" s="286" t="s">
        <v>68</v>
      </c>
      <c r="FA19" s="286" t="s">
        <v>68</v>
      </c>
      <c r="FB19" s="286" t="s">
        <v>68</v>
      </c>
      <c r="FC19" s="286" t="s">
        <v>68</v>
      </c>
      <c r="FD19" s="286" t="s">
        <v>1118</v>
      </c>
    </row>
    <row r="20" spans="2:160" s="6" customFormat="1" ht="13.5" customHeight="1" outlineLevel="3" x14ac:dyDescent="0.35">
      <c r="B20" s="295" t="s">
        <v>126</v>
      </c>
      <c r="C20" s="287" t="s">
        <v>134</v>
      </c>
      <c r="D20" s="287" t="s">
        <v>161</v>
      </c>
      <c r="E20" s="287" t="s">
        <v>164</v>
      </c>
      <c r="F20" s="287" t="s">
        <v>159</v>
      </c>
      <c r="G20" s="287" t="s">
        <v>164</v>
      </c>
      <c r="H20" s="296" t="s">
        <v>158</v>
      </c>
      <c r="I20" s="296" t="s">
        <v>158</v>
      </c>
      <c r="J20" s="288" t="s">
        <v>158</v>
      </c>
      <c r="K20" s="287" t="s">
        <v>158</v>
      </c>
      <c r="L20" s="289" t="s">
        <v>158</v>
      </c>
      <c r="M20" s="289" t="s">
        <v>158</v>
      </c>
      <c r="N20" s="289" t="s">
        <v>158</v>
      </c>
      <c r="O20" s="289" t="s">
        <v>158</v>
      </c>
      <c r="P20" s="290">
        <f t="shared" si="0"/>
        <v>0</v>
      </c>
      <c r="Q20" s="290" t="s">
        <v>67</v>
      </c>
      <c r="R20" s="290" t="s">
        <v>124</v>
      </c>
      <c r="S20" s="286" t="s">
        <v>156</v>
      </c>
      <c r="T20" s="286" t="s">
        <v>91</v>
      </c>
      <c r="U20" s="291" t="s">
        <v>104</v>
      </c>
      <c r="V20" s="292"/>
      <c r="W20" s="293"/>
      <c r="X20" s="293"/>
      <c r="Y20" s="293"/>
      <c r="Z20" s="293" t="s">
        <v>1129</v>
      </c>
      <c r="AA20" s="293"/>
      <c r="AB20" s="293"/>
      <c r="AC20" s="293"/>
      <c r="AD20" s="293"/>
      <c r="AE20" s="293"/>
      <c r="AF20" s="293"/>
      <c r="AG20" s="293"/>
      <c r="AH20" s="286" t="s">
        <v>186</v>
      </c>
      <c r="AI20" s="290" t="s">
        <v>124</v>
      </c>
      <c r="AJ20" s="290" t="s">
        <v>124</v>
      </c>
      <c r="AK20" s="290" t="s">
        <v>124</v>
      </c>
      <c r="AL20" s="290" t="s">
        <v>124</v>
      </c>
      <c r="AM20" s="290" t="s">
        <v>124</v>
      </c>
      <c r="AN20" s="290" t="s">
        <v>124</v>
      </c>
      <c r="AO20" s="290" t="s">
        <v>124</v>
      </c>
      <c r="AP20" s="290" t="s">
        <v>124</v>
      </c>
      <c r="AQ20" s="290" t="s">
        <v>124</v>
      </c>
      <c r="AR20" s="290" t="s">
        <v>124</v>
      </c>
      <c r="AS20" s="290" t="s">
        <v>124</v>
      </c>
      <c r="AT20" s="290" t="s">
        <v>124</v>
      </c>
      <c r="AU20" s="290" t="s">
        <v>124</v>
      </c>
      <c r="AV20" s="290" t="s">
        <v>124</v>
      </c>
      <c r="AW20" s="290" t="s">
        <v>124</v>
      </c>
      <c r="AX20" s="290" t="s">
        <v>124</v>
      </c>
      <c r="AY20" s="290" t="s">
        <v>124</v>
      </c>
      <c r="AZ20" s="290" t="s">
        <v>124</v>
      </c>
      <c r="BA20" s="290" t="s">
        <v>124</v>
      </c>
      <c r="BB20" s="290" t="s">
        <v>124</v>
      </c>
      <c r="BC20" s="290" t="s">
        <v>124</v>
      </c>
      <c r="BD20" s="290" t="s">
        <v>124</v>
      </c>
      <c r="BE20" s="290" t="s">
        <v>124</v>
      </c>
      <c r="BF20" s="290" t="s">
        <v>124</v>
      </c>
      <c r="BG20" s="290" t="s">
        <v>124</v>
      </c>
      <c r="BH20" s="290" t="s">
        <v>67</v>
      </c>
      <c r="BI20" s="290" t="s">
        <v>67</v>
      </c>
      <c r="BJ20" s="290" t="s">
        <v>67</v>
      </c>
      <c r="BK20" s="290" t="s">
        <v>124</v>
      </c>
      <c r="BL20" s="290" t="s">
        <v>124</v>
      </c>
      <c r="BM20" s="290" t="s">
        <v>124</v>
      </c>
      <c r="BN20" s="290" t="s">
        <v>124</v>
      </c>
      <c r="BO20" s="290" t="s">
        <v>124</v>
      </c>
      <c r="BP20" s="290" t="s">
        <v>124</v>
      </c>
      <c r="BQ20" s="290" t="s">
        <v>124</v>
      </c>
      <c r="BR20" s="290" t="s">
        <v>124</v>
      </c>
      <c r="BS20" s="290" t="s">
        <v>124</v>
      </c>
      <c r="BT20" s="290" t="s">
        <v>124</v>
      </c>
      <c r="BU20" s="290" t="s">
        <v>124</v>
      </c>
      <c r="BV20" s="290" t="s">
        <v>124</v>
      </c>
      <c r="BW20" s="290" t="s">
        <v>124</v>
      </c>
      <c r="BX20" s="290" t="s">
        <v>124</v>
      </c>
      <c r="BY20" s="290" t="s">
        <v>124</v>
      </c>
      <c r="BZ20" s="290" t="s">
        <v>124</v>
      </c>
      <c r="CA20" s="290" t="s">
        <v>124</v>
      </c>
      <c r="CB20" s="290" t="s">
        <v>124</v>
      </c>
      <c r="CC20" s="290" t="s">
        <v>124</v>
      </c>
      <c r="CD20" s="290" t="s">
        <v>124</v>
      </c>
      <c r="CE20" s="290" t="s">
        <v>124</v>
      </c>
      <c r="CF20" s="290" t="s">
        <v>124</v>
      </c>
      <c r="CG20" s="290" t="s">
        <v>124</v>
      </c>
      <c r="CH20" s="290" t="s">
        <v>124</v>
      </c>
      <c r="CI20" s="290" t="s">
        <v>124</v>
      </c>
      <c r="CJ20" s="290" t="s">
        <v>124</v>
      </c>
      <c r="CK20" s="290" t="s">
        <v>124</v>
      </c>
      <c r="CL20" s="290" t="s">
        <v>124</v>
      </c>
      <c r="CM20" s="290" t="s">
        <v>124</v>
      </c>
      <c r="CN20" s="290" t="s">
        <v>124</v>
      </c>
      <c r="CO20" s="290" t="s">
        <v>124</v>
      </c>
      <c r="CP20" s="290" t="s">
        <v>124</v>
      </c>
      <c r="CQ20" s="290" t="s">
        <v>124</v>
      </c>
      <c r="CR20" s="290" t="s">
        <v>124</v>
      </c>
      <c r="CS20" s="290" t="s">
        <v>124</v>
      </c>
      <c r="CT20" s="290" t="s">
        <v>124</v>
      </c>
      <c r="CU20" s="290" t="s">
        <v>124</v>
      </c>
      <c r="CV20" s="290" t="s">
        <v>124</v>
      </c>
      <c r="CW20" s="290" t="s">
        <v>124</v>
      </c>
      <c r="CX20" s="290" t="s">
        <v>124</v>
      </c>
      <c r="CY20" s="290" t="s">
        <v>124</v>
      </c>
      <c r="CZ20" s="290" t="s">
        <v>124</v>
      </c>
      <c r="DA20" s="290" t="s">
        <v>124</v>
      </c>
      <c r="DB20" s="290" t="s">
        <v>124</v>
      </c>
      <c r="DC20" s="290" t="s">
        <v>124</v>
      </c>
      <c r="DD20" s="290" t="s">
        <v>124</v>
      </c>
      <c r="DE20" s="290" t="s">
        <v>124</v>
      </c>
      <c r="DF20" s="290" t="s">
        <v>124</v>
      </c>
      <c r="DG20" s="290" t="s">
        <v>124</v>
      </c>
      <c r="DH20" s="290" t="s">
        <v>124</v>
      </c>
      <c r="DI20" s="290" t="s">
        <v>124</v>
      </c>
      <c r="DJ20" s="290" t="s">
        <v>124</v>
      </c>
      <c r="DK20" s="290" t="s">
        <v>124</v>
      </c>
      <c r="DL20" s="290" t="s">
        <v>124</v>
      </c>
      <c r="DM20" s="290" t="s">
        <v>124</v>
      </c>
      <c r="DN20" s="290" t="s">
        <v>124</v>
      </c>
      <c r="DO20" s="290" t="s">
        <v>124</v>
      </c>
      <c r="DP20" s="290" t="s">
        <v>124</v>
      </c>
      <c r="DQ20" s="290" t="s">
        <v>124</v>
      </c>
      <c r="DR20" s="290" t="s">
        <v>124</v>
      </c>
      <c r="DS20" s="290" t="s">
        <v>124</v>
      </c>
      <c r="DT20" s="290" t="s">
        <v>124</v>
      </c>
      <c r="DU20" s="290" t="s">
        <v>124</v>
      </c>
      <c r="DV20" s="290" t="s">
        <v>124</v>
      </c>
      <c r="DW20" s="290" t="s">
        <v>124</v>
      </c>
      <c r="DX20" s="290" t="s">
        <v>124</v>
      </c>
      <c r="DY20" s="290" t="s">
        <v>124</v>
      </c>
      <c r="DZ20" s="290" t="s">
        <v>124</v>
      </c>
      <c r="EA20" s="290" t="s">
        <v>124</v>
      </c>
      <c r="EB20" s="290" t="s">
        <v>124</v>
      </c>
      <c r="EC20" s="290" t="s">
        <v>124</v>
      </c>
      <c r="ED20" s="290" t="s">
        <v>124</v>
      </c>
      <c r="EE20" s="290" t="s">
        <v>124</v>
      </c>
      <c r="EF20" s="290" t="s">
        <v>124</v>
      </c>
      <c r="EG20" s="290" t="s">
        <v>124</v>
      </c>
      <c r="EH20" s="290" t="s">
        <v>124</v>
      </c>
      <c r="EI20" s="290" t="s">
        <v>124</v>
      </c>
      <c r="EJ20" s="290" t="s">
        <v>124</v>
      </c>
      <c r="EK20" s="290" t="s">
        <v>124</v>
      </c>
      <c r="EL20" s="290" t="s">
        <v>124</v>
      </c>
      <c r="EM20" s="290" t="s">
        <v>124</v>
      </c>
      <c r="EN20" s="290" t="s">
        <v>124</v>
      </c>
      <c r="EO20" s="290" t="s">
        <v>124</v>
      </c>
      <c r="EP20" s="290" t="s">
        <v>124</v>
      </c>
      <c r="EQ20" s="290" t="s">
        <v>124</v>
      </c>
      <c r="ER20" s="290" t="s">
        <v>124</v>
      </c>
      <c r="ES20" s="290" t="s">
        <v>124</v>
      </c>
      <c r="ET20" s="290" t="s">
        <v>124</v>
      </c>
      <c r="EU20" s="294" t="s">
        <v>124</v>
      </c>
      <c r="EV20" s="286" t="s">
        <v>1114</v>
      </c>
      <c r="EW20" s="286" t="s">
        <v>1115</v>
      </c>
      <c r="EX20" s="286" t="s">
        <v>1116</v>
      </c>
      <c r="EY20" s="286" t="s">
        <v>1117</v>
      </c>
      <c r="EZ20" s="286" t="s">
        <v>68</v>
      </c>
      <c r="FA20" s="286" t="s">
        <v>68</v>
      </c>
      <c r="FB20" s="286" t="s">
        <v>68</v>
      </c>
      <c r="FC20" s="286" t="s">
        <v>68</v>
      </c>
      <c r="FD20" s="286" t="s">
        <v>1118</v>
      </c>
    </row>
    <row r="21" spans="2:160" s="6" customFormat="1" ht="13.5" customHeight="1" outlineLevel="3" x14ac:dyDescent="0.35">
      <c r="B21" s="295" t="s">
        <v>126</v>
      </c>
      <c r="C21" s="287" t="s">
        <v>134</v>
      </c>
      <c r="D21" s="287" t="s">
        <v>161</v>
      </c>
      <c r="E21" s="287" t="s">
        <v>164</v>
      </c>
      <c r="F21" s="287" t="s">
        <v>159</v>
      </c>
      <c r="G21" s="287" t="s">
        <v>165</v>
      </c>
      <c r="H21" s="296" t="s">
        <v>158</v>
      </c>
      <c r="I21" s="296" t="s">
        <v>158</v>
      </c>
      <c r="J21" s="288" t="s">
        <v>158</v>
      </c>
      <c r="K21" s="287" t="s">
        <v>158</v>
      </c>
      <c r="L21" s="289" t="s">
        <v>158</v>
      </c>
      <c r="M21" s="289" t="s">
        <v>158</v>
      </c>
      <c r="N21" s="289" t="s">
        <v>158</v>
      </c>
      <c r="O21" s="289" t="s">
        <v>158</v>
      </c>
      <c r="P21" s="290">
        <f t="shared" si="0"/>
        <v>0</v>
      </c>
      <c r="Q21" s="290" t="s">
        <v>67</v>
      </c>
      <c r="R21" s="290" t="s">
        <v>124</v>
      </c>
      <c r="S21" s="286" t="s">
        <v>156</v>
      </c>
      <c r="T21" s="286" t="s">
        <v>91</v>
      </c>
      <c r="U21" s="291" t="s">
        <v>108</v>
      </c>
      <c r="V21" s="292"/>
      <c r="W21" s="293"/>
      <c r="X21" s="293"/>
      <c r="Y21" s="293"/>
      <c r="Z21" s="293" t="s">
        <v>1130</v>
      </c>
      <c r="AA21" s="293"/>
      <c r="AB21" s="293"/>
      <c r="AC21" s="293"/>
      <c r="AD21" s="293"/>
      <c r="AE21" s="293"/>
      <c r="AF21" s="293"/>
      <c r="AG21" s="293"/>
      <c r="AH21" s="286" t="s">
        <v>187</v>
      </c>
      <c r="AI21" s="290" t="s">
        <v>124</v>
      </c>
      <c r="AJ21" s="290" t="s">
        <v>124</v>
      </c>
      <c r="AK21" s="290" t="s">
        <v>124</v>
      </c>
      <c r="AL21" s="290" t="s">
        <v>124</v>
      </c>
      <c r="AM21" s="290" t="s">
        <v>124</v>
      </c>
      <c r="AN21" s="290" t="s">
        <v>124</v>
      </c>
      <c r="AO21" s="290" t="s">
        <v>124</v>
      </c>
      <c r="AP21" s="290" t="s">
        <v>124</v>
      </c>
      <c r="AQ21" s="290" t="s">
        <v>124</v>
      </c>
      <c r="AR21" s="290" t="s">
        <v>124</v>
      </c>
      <c r="AS21" s="290" t="s">
        <v>124</v>
      </c>
      <c r="AT21" s="290" t="s">
        <v>124</v>
      </c>
      <c r="AU21" s="290" t="s">
        <v>124</v>
      </c>
      <c r="AV21" s="290" t="s">
        <v>124</v>
      </c>
      <c r="AW21" s="290" t="s">
        <v>124</v>
      </c>
      <c r="AX21" s="290" t="s">
        <v>124</v>
      </c>
      <c r="AY21" s="290" t="s">
        <v>124</v>
      </c>
      <c r="AZ21" s="290" t="s">
        <v>124</v>
      </c>
      <c r="BA21" s="290" t="s">
        <v>124</v>
      </c>
      <c r="BB21" s="290" t="s">
        <v>124</v>
      </c>
      <c r="BC21" s="290" t="s">
        <v>124</v>
      </c>
      <c r="BD21" s="290" t="s">
        <v>124</v>
      </c>
      <c r="BE21" s="290" t="s">
        <v>124</v>
      </c>
      <c r="BF21" s="290" t="s">
        <v>124</v>
      </c>
      <c r="BG21" s="290" t="s">
        <v>124</v>
      </c>
      <c r="BH21" s="290" t="s">
        <v>67</v>
      </c>
      <c r="BI21" s="290" t="s">
        <v>67</v>
      </c>
      <c r="BJ21" s="290" t="s">
        <v>67</v>
      </c>
      <c r="BK21" s="290" t="s">
        <v>124</v>
      </c>
      <c r="BL21" s="290" t="s">
        <v>124</v>
      </c>
      <c r="BM21" s="290" t="s">
        <v>124</v>
      </c>
      <c r="BN21" s="290" t="s">
        <v>124</v>
      </c>
      <c r="BO21" s="290" t="s">
        <v>124</v>
      </c>
      <c r="BP21" s="290" t="s">
        <v>124</v>
      </c>
      <c r="BQ21" s="290" t="s">
        <v>124</v>
      </c>
      <c r="BR21" s="290" t="s">
        <v>124</v>
      </c>
      <c r="BS21" s="290" t="s">
        <v>124</v>
      </c>
      <c r="BT21" s="290" t="s">
        <v>124</v>
      </c>
      <c r="BU21" s="290" t="s">
        <v>124</v>
      </c>
      <c r="BV21" s="290" t="s">
        <v>124</v>
      </c>
      <c r="BW21" s="290" t="s">
        <v>124</v>
      </c>
      <c r="BX21" s="290" t="s">
        <v>124</v>
      </c>
      <c r="BY21" s="290" t="s">
        <v>124</v>
      </c>
      <c r="BZ21" s="290" t="s">
        <v>124</v>
      </c>
      <c r="CA21" s="290" t="s">
        <v>124</v>
      </c>
      <c r="CB21" s="290" t="s">
        <v>124</v>
      </c>
      <c r="CC21" s="290" t="s">
        <v>124</v>
      </c>
      <c r="CD21" s="290" t="s">
        <v>124</v>
      </c>
      <c r="CE21" s="290" t="s">
        <v>124</v>
      </c>
      <c r="CF21" s="290" t="s">
        <v>124</v>
      </c>
      <c r="CG21" s="290" t="s">
        <v>124</v>
      </c>
      <c r="CH21" s="290" t="s">
        <v>124</v>
      </c>
      <c r="CI21" s="290" t="s">
        <v>124</v>
      </c>
      <c r="CJ21" s="290" t="s">
        <v>124</v>
      </c>
      <c r="CK21" s="290" t="s">
        <v>124</v>
      </c>
      <c r="CL21" s="290" t="s">
        <v>124</v>
      </c>
      <c r="CM21" s="290" t="s">
        <v>124</v>
      </c>
      <c r="CN21" s="290" t="s">
        <v>124</v>
      </c>
      <c r="CO21" s="290" t="s">
        <v>124</v>
      </c>
      <c r="CP21" s="290" t="s">
        <v>124</v>
      </c>
      <c r="CQ21" s="290" t="s">
        <v>124</v>
      </c>
      <c r="CR21" s="290" t="s">
        <v>124</v>
      </c>
      <c r="CS21" s="290" t="s">
        <v>124</v>
      </c>
      <c r="CT21" s="290" t="s">
        <v>124</v>
      </c>
      <c r="CU21" s="290" t="s">
        <v>124</v>
      </c>
      <c r="CV21" s="290" t="s">
        <v>124</v>
      </c>
      <c r="CW21" s="290" t="s">
        <v>124</v>
      </c>
      <c r="CX21" s="290" t="s">
        <v>124</v>
      </c>
      <c r="CY21" s="290" t="s">
        <v>124</v>
      </c>
      <c r="CZ21" s="290" t="s">
        <v>124</v>
      </c>
      <c r="DA21" s="290" t="s">
        <v>124</v>
      </c>
      <c r="DB21" s="290" t="s">
        <v>124</v>
      </c>
      <c r="DC21" s="290" t="s">
        <v>124</v>
      </c>
      <c r="DD21" s="290" t="s">
        <v>124</v>
      </c>
      <c r="DE21" s="290" t="s">
        <v>124</v>
      </c>
      <c r="DF21" s="290" t="s">
        <v>124</v>
      </c>
      <c r="DG21" s="290" t="s">
        <v>124</v>
      </c>
      <c r="DH21" s="290" t="s">
        <v>124</v>
      </c>
      <c r="DI21" s="290" t="s">
        <v>124</v>
      </c>
      <c r="DJ21" s="290" t="s">
        <v>124</v>
      </c>
      <c r="DK21" s="290" t="s">
        <v>124</v>
      </c>
      <c r="DL21" s="290" t="s">
        <v>124</v>
      </c>
      <c r="DM21" s="290" t="s">
        <v>124</v>
      </c>
      <c r="DN21" s="290" t="s">
        <v>124</v>
      </c>
      <c r="DO21" s="290" t="s">
        <v>124</v>
      </c>
      <c r="DP21" s="290" t="s">
        <v>124</v>
      </c>
      <c r="DQ21" s="290" t="s">
        <v>124</v>
      </c>
      <c r="DR21" s="290" t="s">
        <v>124</v>
      </c>
      <c r="DS21" s="290" t="s">
        <v>124</v>
      </c>
      <c r="DT21" s="290" t="s">
        <v>124</v>
      </c>
      <c r="DU21" s="290" t="s">
        <v>124</v>
      </c>
      <c r="DV21" s="290" t="s">
        <v>124</v>
      </c>
      <c r="DW21" s="290" t="s">
        <v>124</v>
      </c>
      <c r="DX21" s="290" t="s">
        <v>124</v>
      </c>
      <c r="DY21" s="290" t="s">
        <v>124</v>
      </c>
      <c r="DZ21" s="290" t="s">
        <v>124</v>
      </c>
      <c r="EA21" s="290" t="s">
        <v>124</v>
      </c>
      <c r="EB21" s="290" t="s">
        <v>124</v>
      </c>
      <c r="EC21" s="290" t="s">
        <v>124</v>
      </c>
      <c r="ED21" s="290" t="s">
        <v>124</v>
      </c>
      <c r="EE21" s="290" t="s">
        <v>124</v>
      </c>
      <c r="EF21" s="290" t="s">
        <v>124</v>
      </c>
      <c r="EG21" s="290" t="s">
        <v>124</v>
      </c>
      <c r="EH21" s="290" t="s">
        <v>124</v>
      </c>
      <c r="EI21" s="290" t="s">
        <v>124</v>
      </c>
      <c r="EJ21" s="290" t="s">
        <v>124</v>
      </c>
      <c r="EK21" s="290" t="s">
        <v>124</v>
      </c>
      <c r="EL21" s="290" t="s">
        <v>124</v>
      </c>
      <c r="EM21" s="290" t="s">
        <v>124</v>
      </c>
      <c r="EN21" s="290" t="s">
        <v>124</v>
      </c>
      <c r="EO21" s="290" t="s">
        <v>124</v>
      </c>
      <c r="EP21" s="290" t="s">
        <v>124</v>
      </c>
      <c r="EQ21" s="290" t="s">
        <v>124</v>
      </c>
      <c r="ER21" s="290" t="s">
        <v>124</v>
      </c>
      <c r="ES21" s="290" t="s">
        <v>124</v>
      </c>
      <c r="ET21" s="290" t="s">
        <v>124</v>
      </c>
      <c r="EU21" s="294" t="s">
        <v>124</v>
      </c>
      <c r="EV21" s="286" t="s">
        <v>1114</v>
      </c>
      <c r="EW21" s="286" t="s">
        <v>1115</v>
      </c>
      <c r="EX21" s="286" t="s">
        <v>1116</v>
      </c>
      <c r="EY21" s="286" t="s">
        <v>1117</v>
      </c>
      <c r="EZ21" s="286" t="s">
        <v>68</v>
      </c>
      <c r="FA21" s="286" t="s">
        <v>68</v>
      </c>
      <c r="FB21" s="286" t="s">
        <v>68</v>
      </c>
      <c r="FC21" s="286" t="s">
        <v>68</v>
      </c>
      <c r="FD21" s="286" t="s">
        <v>1118</v>
      </c>
    </row>
    <row r="22" spans="2:160" s="6" customFormat="1" ht="13.5" customHeight="1" outlineLevel="3" x14ac:dyDescent="0.35">
      <c r="B22" s="286" t="s">
        <v>68</v>
      </c>
      <c r="C22" s="287" t="s">
        <v>134</v>
      </c>
      <c r="D22" s="287" t="s">
        <v>161</v>
      </c>
      <c r="E22" s="287" t="s">
        <v>164</v>
      </c>
      <c r="F22" s="287" t="s">
        <v>159</v>
      </c>
      <c r="G22" s="287" t="s">
        <v>166</v>
      </c>
      <c r="H22" s="296" t="s">
        <v>158</v>
      </c>
      <c r="I22" s="296" t="s">
        <v>158</v>
      </c>
      <c r="J22" s="288" t="s">
        <v>158</v>
      </c>
      <c r="K22" s="287" t="s">
        <v>158</v>
      </c>
      <c r="L22" s="289" t="s">
        <v>158</v>
      </c>
      <c r="M22" s="289" t="s">
        <v>158</v>
      </c>
      <c r="N22" s="289" t="s">
        <v>158</v>
      </c>
      <c r="O22" s="289" t="s">
        <v>158</v>
      </c>
      <c r="P22" s="290">
        <f t="shared" si="0"/>
        <v>0</v>
      </c>
      <c r="Q22" s="290" t="s">
        <v>124</v>
      </c>
      <c r="R22" s="290" t="s">
        <v>124</v>
      </c>
      <c r="S22" s="290" t="s">
        <v>68</v>
      </c>
      <c r="T22" s="286" t="s">
        <v>91</v>
      </c>
      <c r="U22" s="291" t="s">
        <v>74</v>
      </c>
      <c r="V22" s="292"/>
      <c r="W22" s="293"/>
      <c r="X22" s="293"/>
      <c r="Y22" s="293"/>
      <c r="Z22" s="293" t="s">
        <v>1131</v>
      </c>
      <c r="AA22" s="293"/>
      <c r="AB22" s="293"/>
      <c r="AC22" s="293"/>
      <c r="AD22" s="293"/>
      <c r="AE22" s="293"/>
      <c r="AF22" s="293"/>
      <c r="AG22" s="293"/>
      <c r="AH22" s="286" t="s">
        <v>188</v>
      </c>
      <c r="AI22" s="290" t="s">
        <v>68</v>
      </c>
      <c r="AJ22" s="290" t="s">
        <v>68</v>
      </c>
      <c r="AK22" s="290" t="s">
        <v>68</v>
      </c>
      <c r="AL22" s="290" t="s">
        <v>68</v>
      </c>
      <c r="AM22" s="290" t="s">
        <v>68</v>
      </c>
      <c r="AN22" s="290" t="s">
        <v>68</v>
      </c>
      <c r="AO22" s="290" t="s">
        <v>68</v>
      </c>
      <c r="AP22" s="290" t="s">
        <v>68</v>
      </c>
      <c r="AQ22" s="290" t="s">
        <v>68</v>
      </c>
      <c r="AR22" s="290" t="s">
        <v>68</v>
      </c>
      <c r="AS22" s="290" t="s">
        <v>68</v>
      </c>
      <c r="AT22" s="290" t="s">
        <v>68</v>
      </c>
      <c r="AU22" s="290" t="s">
        <v>68</v>
      </c>
      <c r="AV22" s="290" t="s">
        <v>68</v>
      </c>
      <c r="AW22" s="290" t="s">
        <v>68</v>
      </c>
      <c r="AX22" s="290" t="s">
        <v>68</v>
      </c>
      <c r="AY22" s="290" t="s">
        <v>68</v>
      </c>
      <c r="AZ22" s="290" t="s">
        <v>68</v>
      </c>
      <c r="BA22" s="290" t="s">
        <v>68</v>
      </c>
      <c r="BB22" s="290" t="s">
        <v>68</v>
      </c>
      <c r="BC22" s="290" t="s">
        <v>68</v>
      </c>
      <c r="BD22" s="290" t="s">
        <v>68</v>
      </c>
      <c r="BE22" s="290" t="s">
        <v>68</v>
      </c>
      <c r="BF22" s="290" t="s">
        <v>68</v>
      </c>
      <c r="BG22" s="290" t="s">
        <v>68</v>
      </c>
      <c r="BH22" s="290" t="s">
        <v>68</v>
      </c>
      <c r="BI22" s="290" t="s">
        <v>68</v>
      </c>
      <c r="BJ22" s="290" t="s">
        <v>68</v>
      </c>
      <c r="BK22" s="290" t="s">
        <v>68</v>
      </c>
      <c r="BL22" s="290" t="s">
        <v>68</v>
      </c>
      <c r="BM22" s="290" t="s">
        <v>68</v>
      </c>
      <c r="BN22" s="290" t="s">
        <v>68</v>
      </c>
      <c r="BO22" s="290" t="s">
        <v>68</v>
      </c>
      <c r="BP22" s="290" t="s">
        <v>68</v>
      </c>
      <c r="BQ22" s="290" t="s">
        <v>68</v>
      </c>
      <c r="BR22" s="290" t="s">
        <v>68</v>
      </c>
      <c r="BS22" s="290" t="s">
        <v>68</v>
      </c>
      <c r="BT22" s="290" t="s">
        <v>68</v>
      </c>
      <c r="BU22" s="290" t="s">
        <v>68</v>
      </c>
      <c r="BV22" s="290" t="s">
        <v>68</v>
      </c>
      <c r="BW22" s="290" t="s">
        <v>68</v>
      </c>
      <c r="BX22" s="290" t="s">
        <v>68</v>
      </c>
      <c r="BY22" s="290" t="s">
        <v>68</v>
      </c>
      <c r="BZ22" s="290" t="s">
        <v>68</v>
      </c>
      <c r="CA22" s="290" t="s">
        <v>68</v>
      </c>
      <c r="CB22" s="290" t="s">
        <v>68</v>
      </c>
      <c r="CC22" s="290" t="s">
        <v>68</v>
      </c>
      <c r="CD22" s="290" t="s">
        <v>68</v>
      </c>
      <c r="CE22" s="290" t="s">
        <v>68</v>
      </c>
      <c r="CF22" s="290" t="s">
        <v>68</v>
      </c>
      <c r="CG22" s="290" t="s">
        <v>68</v>
      </c>
      <c r="CH22" s="290" t="s">
        <v>68</v>
      </c>
      <c r="CI22" s="290" t="s">
        <v>68</v>
      </c>
      <c r="CJ22" s="290" t="s">
        <v>68</v>
      </c>
      <c r="CK22" s="290" t="s">
        <v>68</v>
      </c>
      <c r="CL22" s="290" t="s">
        <v>68</v>
      </c>
      <c r="CM22" s="290" t="s">
        <v>68</v>
      </c>
      <c r="CN22" s="290" t="s">
        <v>68</v>
      </c>
      <c r="CO22" s="290" t="s">
        <v>68</v>
      </c>
      <c r="CP22" s="290" t="s">
        <v>68</v>
      </c>
      <c r="CQ22" s="290" t="s">
        <v>68</v>
      </c>
      <c r="CR22" s="290" t="s">
        <v>68</v>
      </c>
      <c r="CS22" s="290" t="s">
        <v>68</v>
      </c>
      <c r="CT22" s="290" t="s">
        <v>68</v>
      </c>
      <c r="CU22" s="290" t="s">
        <v>68</v>
      </c>
      <c r="CV22" s="290" t="s">
        <v>68</v>
      </c>
      <c r="CW22" s="290" t="s">
        <v>68</v>
      </c>
      <c r="CX22" s="290" t="s">
        <v>68</v>
      </c>
      <c r="CY22" s="290" t="s">
        <v>68</v>
      </c>
      <c r="CZ22" s="290" t="s">
        <v>68</v>
      </c>
      <c r="DA22" s="290" t="s">
        <v>68</v>
      </c>
      <c r="DB22" s="290" t="s">
        <v>68</v>
      </c>
      <c r="DC22" s="290" t="s">
        <v>68</v>
      </c>
      <c r="DD22" s="290" t="s">
        <v>68</v>
      </c>
      <c r="DE22" s="290" t="s">
        <v>68</v>
      </c>
      <c r="DF22" s="290" t="s">
        <v>68</v>
      </c>
      <c r="DG22" s="290" t="s">
        <v>68</v>
      </c>
      <c r="DH22" s="290" t="s">
        <v>68</v>
      </c>
      <c r="DI22" s="290" t="s">
        <v>68</v>
      </c>
      <c r="DJ22" s="290" t="s">
        <v>68</v>
      </c>
      <c r="DK22" s="290" t="s">
        <v>68</v>
      </c>
      <c r="DL22" s="290" t="s">
        <v>68</v>
      </c>
      <c r="DM22" s="290" t="s">
        <v>68</v>
      </c>
      <c r="DN22" s="290" t="s">
        <v>68</v>
      </c>
      <c r="DO22" s="290" t="s">
        <v>68</v>
      </c>
      <c r="DP22" s="290" t="s">
        <v>68</v>
      </c>
      <c r="DQ22" s="290" t="s">
        <v>68</v>
      </c>
      <c r="DR22" s="290" t="s">
        <v>68</v>
      </c>
      <c r="DS22" s="290" t="s">
        <v>68</v>
      </c>
      <c r="DT22" s="290" t="s">
        <v>68</v>
      </c>
      <c r="DU22" s="290" t="s">
        <v>68</v>
      </c>
      <c r="DV22" s="290" t="s">
        <v>68</v>
      </c>
      <c r="DW22" s="290" t="s">
        <v>68</v>
      </c>
      <c r="DX22" s="290" t="s">
        <v>68</v>
      </c>
      <c r="DY22" s="290" t="s">
        <v>68</v>
      </c>
      <c r="DZ22" s="290" t="s">
        <v>68</v>
      </c>
      <c r="EA22" s="290" t="s">
        <v>68</v>
      </c>
      <c r="EB22" s="290" t="s">
        <v>68</v>
      </c>
      <c r="EC22" s="290" t="s">
        <v>68</v>
      </c>
      <c r="ED22" s="290" t="s">
        <v>68</v>
      </c>
      <c r="EE22" s="290" t="s">
        <v>68</v>
      </c>
      <c r="EF22" s="290" t="s">
        <v>68</v>
      </c>
      <c r="EG22" s="290" t="s">
        <v>68</v>
      </c>
      <c r="EH22" s="290" t="s">
        <v>68</v>
      </c>
      <c r="EI22" s="290" t="s">
        <v>68</v>
      </c>
      <c r="EJ22" s="290" t="s">
        <v>68</v>
      </c>
      <c r="EK22" s="290" t="s">
        <v>68</v>
      </c>
      <c r="EL22" s="290" t="s">
        <v>68</v>
      </c>
      <c r="EM22" s="290" t="s">
        <v>68</v>
      </c>
      <c r="EN22" s="290" t="s">
        <v>68</v>
      </c>
      <c r="EO22" s="290" t="s">
        <v>68</v>
      </c>
      <c r="EP22" s="290" t="s">
        <v>68</v>
      </c>
      <c r="EQ22" s="290" t="s">
        <v>68</v>
      </c>
      <c r="ER22" s="290" t="s">
        <v>68</v>
      </c>
      <c r="ES22" s="290" t="s">
        <v>68</v>
      </c>
      <c r="ET22" s="290" t="s">
        <v>68</v>
      </c>
      <c r="EU22" s="294" t="s">
        <v>68</v>
      </c>
      <c r="EV22" s="286" t="s">
        <v>68</v>
      </c>
      <c r="EW22" s="286" t="s">
        <v>68</v>
      </c>
      <c r="EX22" s="286" t="s">
        <v>68</v>
      </c>
      <c r="EY22" s="286" t="s">
        <v>68</v>
      </c>
      <c r="EZ22" s="286" t="s">
        <v>68</v>
      </c>
      <c r="FA22" s="286" t="s">
        <v>68</v>
      </c>
      <c r="FB22" s="286" t="s">
        <v>68</v>
      </c>
      <c r="FC22" s="286" t="s">
        <v>68</v>
      </c>
      <c r="FD22" s="286" t="s">
        <v>68</v>
      </c>
    </row>
    <row r="23" spans="2:160" s="6" customFormat="1" ht="13.5" customHeight="1" outlineLevel="4" x14ac:dyDescent="0.35">
      <c r="B23" s="295" t="s">
        <v>126</v>
      </c>
      <c r="C23" s="287" t="s">
        <v>134</v>
      </c>
      <c r="D23" s="287" t="s">
        <v>161</v>
      </c>
      <c r="E23" s="287" t="s">
        <v>164</v>
      </c>
      <c r="F23" s="287" t="s">
        <v>159</v>
      </c>
      <c r="G23" s="287" t="s">
        <v>166</v>
      </c>
      <c r="H23" s="296" t="s">
        <v>159</v>
      </c>
      <c r="I23" s="296" t="s">
        <v>158</v>
      </c>
      <c r="J23" s="288" t="s">
        <v>158</v>
      </c>
      <c r="K23" s="287" t="s">
        <v>158</v>
      </c>
      <c r="L23" s="289" t="s">
        <v>158</v>
      </c>
      <c r="M23" s="289" t="s">
        <v>158</v>
      </c>
      <c r="N23" s="289" t="s">
        <v>158</v>
      </c>
      <c r="O23" s="289" t="s">
        <v>158</v>
      </c>
      <c r="P23" s="290">
        <f t="shared" si="0"/>
        <v>0</v>
      </c>
      <c r="Q23" s="290" t="s">
        <v>67</v>
      </c>
      <c r="R23" s="290" t="s">
        <v>124</v>
      </c>
      <c r="S23" s="286" t="s">
        <v>156</v>
      </c>
      <c r="T23" s="286" t="s">
        <v>91</v>
      </c>
      <c r="U23" s="291" t="s">
        <v>27</v>
      </c>
      <c r="V23" s="292"/>
      <c r="W23" s="293"/>
      <c r="X23" s="293"/>
      <c r="Y23" s="293"/>
      <c r="Z23" s="293"/>
      <c r="AA23" s="293" t="s">
        <v>1132</v>
      </c>
      <c r="AB23" s="293"/>
      <c r="AC23" s="293"/>
      <c r="AD23" s="293"/>
      <c r="AE23" s="293"/>
      <c r="AF23" s="293"/>
      <c r="AG23" s="293"/>
      <c r="AH23" s="286" t="s">
        <v>189</v>
      </c>
      <c r="AI23" s="290" t="s">
        <v>124</v>
      </c>
      <c r="AJ23" s="290" t="s">
        <v>124</v>
      </c>
      <c r="AK23" s="290" t="s">
        <v>124</v>
      </c>
      <c r="AL23" s="290" t="s">
        <v>124</v>
      </c>
      <c r="AM23" s="290" t="s">
        <v>124</v>
      </c>
      <c r="AN23" s="290" t="s">
        <v>124</v>
      </c>
      <c r="AO23" s="290" t="s">
        <v>124</v>
      </c>
      <c r="AP23" s="290" t="s">
        <v>124</v>
      </c>
      <c r="AQ23" s="290" t="s">
        <v>124</v>
      </c>
      <c r="AR23" s="290" t="s">
        <v>124</v>
      </c>
      <c r="AS23" s="290" t="s">
        <v>124</v>
      </c>
      <c r="AT23" s="290" t="s">
        <v>124</v>
      </c>
      <c r="AU23" s="290" t="s">
        <v>124</v>
      </c>
      <c r="AV23" s="290" t="s">
        <v>124</v>
      </c>
      <c r="AW23" s="290" t="s">
        <v>124</v>
      </c>
      <c r="AX23" s="290" t="s">
        <v>124</v>
      </c>
      <c r="AY23" s="290" t="s">
        <v>124</v>
      </c>
      <c r="AZ23" s="290" t="s">
        <v>124</v>
      </c>
      <c r="BA23" s="290" t="s">
        <v>124</v>
      </c>
      <c r="BB23" s="290" t="s">
        <v>124</v>
      </c>
      <c r="BC23" s="290" t="s">
        <v>124</v>
      </c>
      <c r="BD23" s="290" t="s">
        <v>124</v>
      </c>
      <c r="BE23" s="290" t="s">
        <v>124</v>
      </c>
      <c r="BF23" s="290" t="s">
        <v>124</v>
      </c>
      <c r="BG23" s="290" t="s">
        <v>124</v>
      </c>
      <c r="BH23" s="290" t="s">
        <v>67</v>
      </c>
      <c r="BI23" s="290" t="s">
        <v>67</v>
      </c>
      <c r="BJ23" s="290" t="s">
        <v>67</v>
      </c>
      <c r="BK23" s="290" t="s">
        <v>124</v>
      </c>
      <c r="BL23" s="290" t="s">
        <v>124</v>
      </c>
      <c r="BM23" s="290" t="s">
        <v>124</v>
      </c>
      <c r="BN23" s="290" t="s">
        <v>124</v>
      </c>
      <c r="BO23" s="290" t="s">
        <v>124</v>
      </c>
      <c r="BP23" s="290" t="s">
        <v>124</v>
      </c>
      <c r="BQ23" s="290" t="s">
        <v>124</v>
      </c>
      <c r="BR23" s="290" t="s">
        <v>124</v>
      </c>
      <c r="BS23" s="290" t="s">
        <v>124</v>
      </c>
      <c r="BT23" s="290" t="s">
        <v>124</v>
      </c>
      <c r="BU23" s="290" t="s">
        <v>124</v>
      </c>
      <c r="BV23" s="290" t="s">
        <v>124</v>
      </c>
      <c r="BW23" s="290" t="s">
        <v>124</v>
      </c>
      <c r="BX23" s="290" t="s">
        <v>124</v>
      </c>
      <c r="BY23" s="290" t="s">
        <v>124</v>
      </c>
      <c r="BZ23" s="290" t="s">
        <v>124</v>
      </c>
      <c r="CA23" s="290" t="s">
        <v>124</v>
      </c>
      <c r="CB23" s="290" t="s">
        <v>124</v>
      </c>
      <c r="CC23" s="290" t="s">
        <v>124</v>
      </c>
      <c r="CD23" s="290" t="s">
        <v>124</v>
      </c>
      <c r="CE23" s="290" t="s">
        <v>124</v>
      </c>
      <c r="CF23" s="290" t="s">
        <v>124</v>
      </c>
      <c r="CG23" s="290" t="s">
        <v>124</v>
      </c>
      <c r="CH23" s="290" t="s">
        <v>124</v>
      </c>
      <c r="CI23" s="290" t="s">
        <v>124</v>
      </c>
      <c r="CJ23" s="290" t="s">
        <v>124</v>
      </c>
      <c r="CK23" s="290" t="s">
        <v>124</v>
      </c>
      <c r="CL23" s="290" t="s">
        <v>124</v>
      </c>
      <c r="CM23" s="290" t="s">
        <v>124</v>
      </c>
      <c r="CN23" s="290" t="s">
        <v>124</v>
      </c>
      <c r="CO23" s="290" t="s">
        <v>124</v>
      </c>
      <c r="CP23" s="290" t="s">
        <v>124</v>
      </c>
      <c r="CQ23" s="290" t="s">
        <v>124</v>
      </c>
      <c r="CR23" s="290" t="s">
        <v>124</v>
      </c>
      <c r="CS23" s="290" t="s">
        <v>124</v>
      </c>
      <c r="CT23" s="290" t="s">
        <v>124</v>
      </c>
      <c r="CU23" s="290" t="s">
        <v>124</v>
      </c>
      <c r="CV23" s="290" t="s">
        <v>124</v>
      </c>
      <c r="CW23" s="290" t="s">
        <v>124</v>
      </c>
      <c r="CX23" s="290" t="s">
        <v>124</v>
      </c>
      <c r="CY23" s="290" t="s">
        <v>124</v>
      </c>
      <c r="CZ23" s="290" t="s">
        <v>124</v>
      </c>
      <c r="DA23" s="290" t="s">
        <v>124</v>
      </c>
      <c r="DB23" s="290" t="s">
        <v>124</v>
      </c>
      <c r="DC23" s="290" t="s">
        <v>124</v>
      </c>
      <c r="DD23" s="290" t="s">
        <v>124</v>
      </c>
      <c r="DE23" s="290" t="s">
        <v>124</v>
      </c>
      <c r="DF23" s="290" t="s">
        <v>124</v>
      </c>
      <c r="DG23" s="290" t="s">
        <v>124</v>
      </c>
      <c r="DH23" s="290" t="s">
        <v>124</v>
      </c>
      <c r="DI23" s="290" t="s">
        <v>124</v>
      </c>
      <c r="DJ23" s="290" t="s">
        <v>124</v>
      </c>
      <c r="DK23" s="290" t="s">
        <v>124</v>
      </c>
      <c r="DL23" s="290" t="s">
        <v>124</v>
      </c>
      <c r="DM23" s="290" t="s">
        <v>124</v>
      </c>
      <c r="DN23" s="290" t="s">
        <v>124</v>
      </c>
      <c r="DO23" s="290" t="s">
        <v>124</v>
      </c>
      <c r="DP23" s="290" t="s">
        <v>124</v>
      </c>
      <c r="DQ23" s="290" t="s">
        <v>124</v>
      </c>
      <c r="DR23" s="290" t="s">
        <v>124</v>
      </c>
      <c r="DS23" s="290" t="s">
        <v>124</v>
      </c>
      <c r="DT23" s="290" t="s">
        <v>124</v>
      </c>
      <c r="DU23" s="290" t="s">
        <v>124</v>
      </c>
      <c r="DV23" s="290" t="s">
        <v>124</v>
      </c>
      <c r="DW23" s="290" t="s">
        <v>124</v>
      </c>
      <c r="DX23" s="290" t="s">
        <v>124</v>
      </c>
      <c r="DY23" s="290" t="s">
        <v>124</v>
      </c>
      <c r="DZ23" s="290" t="s">
        <v>124</v>
      </c>
      <c r="EA23" s="290" t="s">
        <v>124</v>
      </c>
      <c r="EB23" s="290" t="s">
        <v>124</v>
      </c>
      <c r="EC23" s="290" t="s">
        <v>124</v>
      </c>
      <c r="ED23" s="290" t="s">
        <v>124</v>
      </c>
      <c r="EE23" s="290" t="s">
        <v>124</v>
      </c>
      <c r="EF23" s="290" t="s">
        <v>124</v>
      </c>
      <c r="EG23" s="290" t="s">
        <v>124</v>
      </c>
      <c r="EH23" s="290" t="s">
        <v>124</v>
      </c>
      <c r="EI23" s="290" t="s">
        <v>124</v>
      </c>
      <c r="EJ23" s="290" t="s">
        <v>124</v>
      </c>
      <c r="EK23" s="290" t="s">
        <v>124</v>
      </c>
      <c r="EL23" s="290" t="s">
        <v>124</v>
      </c>
      <c r="EM23" s="290" t="s">
        <v>124</v>
      </c>
      <c r="EN23" s="290" t="s">
        <v>124</v>
      </c>
      <c r="EO23" s="290" t="s">
        <v>124</v>
      </c>
      <c r="EP23" s="290" t="s">
        <v>124</v>
      </c>
      <c r="EQ23" s="290" t="s">
        <v>124</v>
      </c>
      <c r="ER23" s="290" t="s">
        <v>124</v>
      </c>
      <c r="ES23" s="290" t="s">
        <v>124</v>
      </c>
      <c r="ET23" s="290" t="s">
        <v>124</v>
      </c>
      <c r="EU23" s="294" t="s">
        <v>124</v>
      </c>
      <c r="EV23" s="286" t="s">
        <v>1114</v>
      </c>
      <c r="EW23" s="286" t="s">
        <v>1115</v>
      </c>
      <c r="EX23" s="286" t="s">
        <v>1116</v>
      </c>
      <c r="EY23" s="286" t="s">
        <v>1117</v>
      </c>
      <c r="EZ23" s="286" t="s">
        <v>68</v>
      </c>
      <c r="FA23" s="286" t="s">
        <v>68</v>
      </c>
      <c r="FB23" s="286" t="s">
        <v>68</v>
      </c>
      <c r="FC23" s="286" t="s">
        <v>68</v>
      </c>
      <c r="FD23" s="286" t="s">
        <v>1118</v>
      </c>
    </row>
    <row r="24" spans="2:160" s="6" customFormat="1" ht="13.5" customHeight="1" outlineLevel="4" x14ac:dyDescent="0.35">
      <c r="B24" s="295" t="s">
        <v>126</v>
      </c>
      <c r="C24" s="287" t="s">
        <v>134</v>
      </c>
      <c r="D24" s="287" t="s">
        <v>161</v>
      </c>
      <c r="E24" s="287" t="s">
        <v>164</v>
      </c>
      <c r="F24" s="287" t="s">
        <v>159</v>
      </c>
      <c r="G24" s="287" t="s">
        <v>166</v>
      </c>
      <c r="H24" s="296" t="s">
        <v>160</v>
      </c>
      <c r="I24" s="296" t="s">
        <v>158</v>
      </c>
      <c r="J24" s="288" t="s">
        <v>158</v>
      </c>
      <c r="K24" s="287" t="s">
        <v>158</v>
      </c>
      <c r="L24" s="289" t="s">
        <v>158</v>
      </c>
      <c r="M24" s="289" t="s">
        <v>158</v>
      </c>
      <c r="N24" s="289" t="s">
        <v>158</v>
      </c>
      <c r="O24" s="289" t="s">
        <v>158</v>
      </c>
      <c r="P24" s="290">
        <f t="shared" si="0"/>
        <v>0</v>
      </c>
      <c r="Q24" s="290" t="s">
        <v>67</v>
      </c>
      <c r="R24" s="290" t="s">
        <v>124</v>
      </c>
      <c r="S24" s="286" t="s">
        <v>156</v>
      </c>
      <c r="T24" s="286" t="s">
        <v>91</v>
      </c>
      <c r="U24" s="291" t="s">
        <v>28</v>
      </c>
      <c r="V24" s="292"/>
      <c r="W24" s="293"/>
      <c r="X24" s="293"/>
      <c r="Y24" s="293"/>
      <c r="Z24" s="293"/>
      <c r="AA24" s="293" t="s">
        <v>1133</v>
      </c>
      <c r="AB24" s="293"/>
      <c r="AC24" s="293"/>
      <c r="AD24" s="293"/>
      <c r="AE24" s="293"/>
      <c r="AF24" s="293"/>
      <c r="AG24" s="293"/>
      <c r="AH24" s="286" t="s">
        <v>190</v>
      </c>
      <c r="AI24" s="290" t="s">
        <v>124</v>
      </c>
      <c r="AJ24" s="290" t="s">
        <v>124</v>
      </c>
      <c r="AK24" s="290" t="s">
        <v>124</v>
      </c>
      <c r="AL24" s="290" t="s">
        <v>124</v>
      </c>
      <c r="AM24" s="290" t="s">
        <v>124</v>
      </c>
      <c r="AN24" s="290" t="s">
        <v>124</v>
      </c>
      <c r="AO24" s="290" t="s">
        <v>124</v>
      </c>
      <c r="AP24" s="290" t="s">
        <v>124</v>
      </c>
      <c r="AQ24" s="290" t="s">
        <v>124</v>
      </c>
      <c r="AR24" s="290" t="s">
        <v>124</v>
      </c>
      <c r="AS24" s="290" t="s">
        <v>124</v>
      </c>
      <c r="AT24" s="290" t="s">
        <v>124</v>
      </c>
      <c r="AU24" s="290" t="s">
        <v>124</v>
      </c>
      <c r="AV24" s="290" t="s">
        <v>124</v>
      </c>
      <c r="AW24" s="290" t="s">
        <v>124</v>
      </c>
      <c r="AX24" s="290" t="s">
        <v>124</v>
      </c>
      <c r="AY24" s="290" t="s">
        <v>124</v>
      </c>
      <c r="AZ24" s="290" t="s">
        <v>124</v>
      </c>
      <c r="BA24" s="290" t="s">
        <v>124</v>
      </c>
      <c r="BB24" s="290" t="s">
        <v>124</v>
      </c>
      <c r="BC24" s="290" t="s">
        <v>124</v>
      </c>
      <c r="BD24" s="290" t="s">
        <v>124</v>
      </c>
      <c r="BE24" s="290" t="s">
        <v>124</v>
      </c>
      <c r="BF24" s="290" t="s">
        <v>124</v>
      </c>
      <c r="BG24" s="290" t="s">
        <v>124</v>
      </c>
      <c r="BH24" s="290" t="s">
        <v>67</v>
      </c>
      <c r="BI24" s="290" t="s">
        <v>67</v>
      </c>
      <c r="BJ24" s="290" t="s">
        <v>67</v>
      </c>
      <c r="BK24" s="290" t="s">
        <v>124</v>
      </c>
      <c r="BL24" s="290" t="s">
        <v>124</v>
      </c>
      <c r="BM24" s="290" t="s">
        <v>124</v>
      </c>
      <c r="BN24" s="290" t="s">
        <v>124</v>
      </c>
      <c r="BO24" s="290" t="s">
        <v>124</v>
      </c>
      <c r="BP24" s="290" t="s">
        <v>124</v>
      </c>
      <c r="BQ24" s="290" t="s">
        <v>124</v>
      </c>
      <c r="BR24" s="290" t="s">
        <v>124</v>
      </c>
      <c r="BS24" s="290" t="s">
        <v>124</v>
      </c>
      <c r="BT24" s="290" t="s">
        <v>124</v>
      </c>
      <c r="BU24" s="290" t="s">
        <v>124</v>
      </c>
      <c r="BV24" s="290" t="s">
        <v>124</v>
      </c>
      <c r="BW24" s="290" t="s">
        <v>124</v>
      </c>
      <c r="BX24" s="290" t="s">
        <v>124</v>
      </c>
      <c r="BY24" s="290" t="s">
        <v>124</v>
      </c>
      <c r="BZ24" s="290" t="s">
        <v>124</v>
      </c>
      <c r="CA24" s="290" t="s">
        <v>124</v>
      </c>
      <c r="CB24" s="290" t="s">
        <v>124</v>
      </c>
      <c r="CC24" s="290" t="s">
        <v>124</v>
      </c>
      <c r="CD24" s="290" t="s">
        <v>124</v>
      </c>
      <c r="CE24" s="290" t="s">
        <v>124</v>
      </c>
      <c r="CF24" s="290" t="s">
        <v>124</v>
      </c>
      <c r="CG24" s="290" t="s">
        <v>124</v>
      </c>
      <c r="CH24" s="290" t="s">
        <v>124</v>
      </c>
      <c r="CI24" s="290" t="s">
        <v>124</v>
      </c>
      <c r="CJ24" s="290" t="s">
        <v>124</v>
      </c>
      <c r="CK24" s="290" t="s">
        <v>124</v>
      </c>
      <c r="CL24" s="290" t="s">
        <v>124</v>
      </c>
      <c r="CM24" s="290" t="s">
        <v>124</v>
      </c>
      <c r="CN24" s="290" t="s">
        <v>124</v>
      </c>
      <c r="CO24" s="290" t="s">
        <v>124</v>
      </c>
      <c r="CP24" s="290" t="s">
        <v>124</v>
      </c>
      <c r="CQ24" s="290" t="s">
        <v>124</v>
      </c>
      <c r="CR24" s="290" t="s">
        <v>124</v>
      </c>
      <c r="CS24" s="290" t="s">
        <v>124</v>
      </c>
      <c r="CT24" s="290" t="s">
        <v>124</v>
      </c>
      <c r="CU24" s="290" t="s">
        <v>124</v>
      </c>
      <c r="CV24" s="290" t="s">
        <v>124</v>
      </c>
      <c r="CW24" s="290" t="s">
        <v>124</v>
      </c>
      <c r="CX24" s="290" t="s">
        <v>124</v>
      </c>
      <c r="CY24" s="290" t="s">
        <v>124</v>
      </c>
      <c r="CZ24" s="290" t="s">
        <v>124</v>
      </c>
      <c r="DA24" s="290" t="s">
        <v>124</v>
      </c>
      <c r="DB24" s="290" t="s">
        <v>124</v>
      </c>
      <c r="DC24" s="290" t="s">
        <v>124</v>
      </c>
      <c r="DD24" s="290" t="s">
        <v>124</v>
      </c>
      <c r="DE24" s="290" t="s">
        <v>124</v>
      </c>
      <c r="DF24" s="290" t="s">
        <v>124</v>
      </c>
      <c r="DG24" s="290" t="s">
        <v>124</v>
      </c>
      <c r="DH24" s="290" t="s">
        <v>124</v>
      </c>
      <c r="DI24" s="290" t="s">
        <v>124</v>
      </c>
      <c r="DJ24" s="290" t="s">
        <v>124</v>
      </c>
      <c r="DK24" s="290" t="s">
        <v>124</v>
      </c>
      <c r="DL24" s="290" t="s">
        <v>124</v>
      </c>
      <c r="DM24" s="290" t="s">
        <v>124</v>
      </c>
      <c r="DN24" s="290" t="s">
        <v>124</v>
      </c>
      <c r="DO24" s="290" t="s">
        <v>124</v>
      </c>
      <c r="DP24" s="290" t="s">
        <v>124</v>
      </c>
      <c r="DQ24" s="290" t="s">
        <v>124</v>
      </c>
      <c r="DR24" s="290" t="s">
        <v>124</v>
      </c>
      <c r="DS24" s="290" t="s">
        <v>124</v>
      </c>
      <c r="DT24" s="290" t="s">
        <v>124</v>
      </c>
      <c r="DU24" s="290" t="s">
        <v>124</v>
      </c>
      <c r="DV24" s="290" t="s">
        <v>124</v>
      </c>
      <c r="DW24" s="290" t="s">
        <v>124</v>
      </c>
      <c r="DX24" s="290" t="s">
        <v>124</v>
      </c>
      <c r="DY24" s="290" t="s">
        <v>124</v>
      </c>
      <c r="DZ24" s="290" t="s">
        <v>124</v>
      </c>
      <c r="EA24" s="290" t="s">
        <v>124</v>
      </c>
      <c r="EB24" s="290" t="s">
        <v>124</v>
      </c>
      <c r="EC24" s="290" t="s">
        <v>124</v>
      </c>
      <c r="ED24" s="290" t="s">
        <v>124</v>
      </c>
      <c r="EE24" s="290" t="s">
        <v>124</v>
      </c>
      <c r="EF24" s="290" t="s">
        <v>124</v>
      </c>
      <c r="EG24" s="290" t="s">
        <v>124</v>
      </c>
      <c r="EH24" s="290" t="s">
        <v>124</v>
      </c>
      <c r="EI24" s="290" t="s">
        <v>124</v>
      </c>
      <c r="EJ24" s="290" t="s">
        <v>124</v>
      </c>
      <c r="EK24" s="290" t="s">
        <v>124</v>
      </c>
      <c r="EL24" s="290" t="s">
        <v>124</v>
      </c>
      <c r="EM24" s="290" t="s">
        <v>124</v>
      </c>
      <c r="EN24" s="290" t="s">
        <v>124</v>
      </c>
      <c r="EO24" s="290" t="s">
        <v>124</v>
      </c>
      <c r="EP24" s="290" t="s">
        <v>124</v>
      </c>
      <c r="EQ24" s="290" t="s">
        <v>124</v>
      </c>
      <c r="ER24" s="290" t="s">
        <v>124</v>
      </c>
      <c r="ES24" s="290" t="s">
        <v>124</v>
      </c>
      <c r="ET24" s="290" t="s">
        <v>124</v>
      </c>
      <c r="EU24" s="294" t="s">
        <v>124</v>
      </c>
      <c r="EV24" s="286" t="s">
        <v>1114</v>
      </c>
      <c r="EW24" s="286" t="s">
        <v>1115</v>
      </c>
      <c r="EX24" s="286" t="s">
        <v>1116</v>
      </c>
      <c r="EY24" s="286" t="s">
        <v>1117</v>
      </c>
      <c r="EZ24" s="286" t="s">
        <v>68</v>
      </c>
      <c r="FA24" s="286" t="s">
        <v>68</v>
      </c>
      <c r="FB24" s="286" t="s">
        <v>68</v>
      </c>
      <c r="FC24" s="286" t="s">
        <v>68</v>
      </c>
      <c r="FD24" s="286" t="s">
        <v>1118</v>
      </c>
    </row>
    <row r="25" spans="2:160" s="6" customFormat="1" ht="13.5" customHeight="1" outlineLevel="4" x14ac:dyDescent="0.35">
      <c r="B25" s="295" t="s">
        <v>126</v>
      </c>
      <c r="C25" s="287" t="s">
        <v>134</v>
      </c>
      <c r="D25" s="287" t="s">
        <v>161</v>
      </c>
      <c r="E25" s="287" t="s">
        <v>164</v>
      </c>
      <c r="F25" s="287" t="s">
        <v>159</v>
      </c>
      <c r="G25" s="287" t="s">
        <v>166</v>
      </c>
      <c r="H25" s="296" t="s">
        <v>161</v>
      </c>
      <c r="I25" s="296" t="s">
        <v>158</v>
      </c>
      <c r="J25" s="288" t="s">
        <v>158</v>
      </c>
      <c r="K25" s="287" t="s">
        <v>158</v>
      </c>
      <c r="L25" s="289" t="s">
        <v>158</v>
      </c>
      <c r="M25" s="289" t="s">
        <v>158</v>
      </c>
      <c r="N25" s="289" t="s">
        <v>158</v>
      </c>
      <c r="O25" s="289" t="s">
        <v>158</v>
      </c>
      <c r="P25" s="290">
        <f t="shared" si="0"/>
        <v>0</v>
      </c>
      <c r="Q25" s="290" t="s">
        <v>67</v>
      </c>
      <c r="R25" s="290" t="s">
        <v>124</v>
      </c>
      <c r="S25" s="286" t="s">
        <v>156</v>
      </c>
      <c r="T25" s="286" t="s">
        <v>91</v>
      </c>
      <c r="U25" s="291" t="s">
        <v>30</v>
      </c>
      <c r="V25" s="292"/>
      <c r="W25" s="293"/>
      <c r="X25" s="293"/>
      <c r="Y25" s="293"/>
      <c r="Z25" s="293"/>
      <c r="AA25" s="293" t="s">
        <v>1134</v>
      </c>
      <c r="AB25" s="293"/>
      <c r="AC25" s="293"/>
      <c r="AD25" s="293"/>
      <c r="AE25" s="293"/>
      <c r="AF25" s="293"/>
      <c r="AG25" s="293"/>
      <c r="AH25" s="286" t="s">
        <v>191</v>
      </c>
      <c r="AI25" s="290" t="s">
        <v>124</v>
      </c>
      <c r="AJ25" s="290" t="s">
        <v>124</v>
      </c>
      <c r="AK25" s="290" t="s">
        <v>124</v>
      </c>
      <c r="AL25" s="290" t="s">
        <v>124</v>
      </c>
      <c r="AM25" s="290" t="s">
        <v>124</v>
      </c>
      <c r="AN25" s="290" t="s">
        <v>124</v>
      </c>
      <c r="AO25" s="290" t="s">
        <v>124</v>
      </c>
      <c r="AP25" s="290" t="s">
        <v>124</v>
      </c>
      <c r="AQ25" s="290" t="s">
        <v>124</v>
      </c>
      <c r="AR25" s="290" t="s">
        <v>124</v>
      </c>
      <c r="AS25" s="290" t="s">
        <v>124</v>
      </c>
      <c r="AT25" s="290" t="s">
        <v>124</v>
      </c>
      <c r="AU25" s="290" t="s">
        <v>124</v>
      </c>
      <c r="AV25" s="290" t="s">
        <v>124</v>
      </c>
      <c r="AW25" s="290" t="s">
        <v>124</v>
      </c>
      <c r="AX25" s="290" t="s">
        <v>124</v>
      </c>
      <c r="AY25" s="290" t="s">
        <v>124</v>
      </c>
      <c r="AZ25" s="290" t="s">
        <v>124</v>
      </c>
      <c r="BA25" s="290" t="s">
        <v>124</v>
      </c>
      <c r="BB25" s="290" t="s">
        <v>124</v>
      </c>
      <c r="BC25" s="290" t="s">
        <v>124</v>
      </c>
      <c r="BD25" s="290" t="s">
        <v>124</v>
      </c>
      <c r="BE25" s="290" t="s">
        <v>124</v>
      </c>
      <c r="BF25" s="290" t="s">
        <v>124</v>
      </c>
      <c r="BG25" s="290" t="s">
        <v>124</v>
      </c>
      <c r="BH25" s="290" t="s">
        <v>67</v>
      </c>
      <c r="BI25" s="290" t="s">
        <v>67</v>
      </c>
      <c r="BJ25" s="290" t="s">
        <v>67</v>
      </c>
      <c r="BK25" s="290" t="s">
        <v>124</v>
      </c>
      <c r="BL25" s="290" t="s">
        <v>124</v>
      </c>
      <c r="BM25" s="290" t="s">
        <v>124</v>
      </c>
      <c r="BN25" s="290" t="s">
        <v>124</v>
      </c>
      <c r="BO25" s="290" t="s">
        <v>124</v>
      </c>
      <c r="BP25" s="290" t="s">
        <v>124</v>
      </c>
      <c r="BQ25" s="290" t="s">
        <v>124</v>
      </c>
      <c r="BR25" s="290" t="s">
        <v>124</v>
      </c>
      <c r="BS25" s="290" t="s">
        <v>124</v>
      </c>
      <c r="BT25" s="290" t="s">
        <v>124</v>
      </c>
      <c r="BU25" s="290" t="s">
        <v>124</v>
      </c>
      <c r="BV25" s="290" t="s">
        <v>124</v>
      </c>
      <c r="BW25" s="290" t="s">
        <v>124</v>
      </c>
      <c r="BX25" s="290" t="s">
        <v>124</v>
      </c>
      <c r="BY25" s="290" t="s">
        <v>124</v>
      </c>
      <c r="BZ25" s="290" t="s">
        <v>124</v>
      </c>
      <c r="CA25" s="290" t="s">
        <v>124</v>
      </c>
      <c r="CB25" s="290" t="s">
        <v>124</v>
      </c>
      <c r="CC25" s="290" t="s">
        <v>124</v>
      </c>
      <c r="CD25" s="290" t="s">
        <v>124</v>
      </c>
      <c r="CE25" s="290" t="s">
        <v>124</v>
      </c>
      <c r="CF25" s="290" t="s">
        <v>124</v>
      </c>
      <c r="CG25" s="290" t="s">
        <v>124</v>
      </c>
      <c r="CH25" s="290" t="s">
        <v>124</v>
      </c>
      <c r="CI25" s="290" t="s">
        <v>124</v>
      </c>
      <c r="CJ25" s="290" t="s">
        <v>124</v>
      </c>
      <c r="CK25" s="290" t="s">
        <v>124</v>
      </c>
      <c r="CL25" s="290" t="s">
        <v>124</v>
      </c>
      <c r="CM25" s="290" t="s">
        <v>124</v>
      </c>
      <c r="CN25" s="290" t="s">
        <v>124</v>
      </c>
      <c r="CO25" s="290" t="s">
        <v>124</v>
      </c>
      <c r="CP25" s="290" t="s">
        <v>124</v>
      </c>
      <c r="CQ25" s="290" t="s">
        <v>124</v>
      </c>
      <c r="CR25" s="290" t="s">
        <v>124</v>
      </c>
      <c r="CS25" s="290" t="s">
        <v>124</v>
      </c>
      <c r="CT25" s="290" t="s">
        <v>124</v>
      </c>
      <c r="CU25" s="290" t="s">
        <v>124</v>
      </c>
      <c r="CV25" s="290" t="s">
        <v>124</v>
      </c>
      <c r="CW25" s="290" t="s">
        <v>124</v>
      </c>
      <c r="CX25" s="290" t="s">
        <v>124</v>
      </c>
      <c r="CY25" s="290" t="s">
        <v>124</v>
      </c>
      <c r="CZ25" s="290" t="s">
        <v>124</v>
      </c>
      <c r="DA25" s="290" t="s">
        <v>124</v>
      </c>
      <c r="DB25" s="290" t="s">
        <v>124</v>
      </c>
      <c r="DC25" s="290" t="s">
        <v>124</v>
      </c>
      <c r="DD25" s="290" t="s">
        <v>124</v>
      </c>
      <c r="DE25" s="290" t="s">
        <v>124</v>
      </c>
      <c r="DF25" s="290" t="s">
        <v>124</v>
      </c>
      <c r="DG25" s="290" t="s">
        <v>124</v>
      </c>
      <c r="DH25" s="290" t="s">
        <v>124</v>
      </c>
      <c r="DI25" s="290" t="s">
        <v>124</v>
      </c>
      <c r="DJ25" s="290" t="s">
        <v>124</v>
      </c>
      <c r="DK25" s="290" t="s">
        <v>124</v>
      </c>
      <c r="DL25" s="290" t="s">
        <v>124</v>
      </c>
      <c r="DM25" s="290" t="s">
        <v>124</v>
      </c>
      <c r="DN25" s="290" t="s">
        <v>124</v>
      </c>
      <c r="DO25" s="290" t="s">
        <v>124</v>
      </c>
      <c r="DP25" s="290" t="s">
        <v>124</v>
      </c>
      <c r="DQ25" s="290" t="s">
        <v>124</v>
      </c>
      <c r="DR25" s="290" t="s">
        <v>124</v>
      </c>
      <c r="DS25" s="290" t="s">
        <v>124</v>
      </c>
      <c r="DT25" s="290" t="s">
        <v>124</v>
      </c>
      <c r="DU25" s="290" t="s">
        <v>124</v>
      </c>
      <c r="DV25" s="290" t="s">
        <v>124</v>
      </c>
      <c r="DW25" s="290" t="s">
        <v>124</v>
      </c>
      <c r="DX25" s="290" t="s">
        <v>124</v>
      </c>
      <c r="DY25" s="290" t="s">
        <v>124</v>
      </c>
      <c r="DZ25" s="290" t="s">
        <v>124</v>
      </c>
      <c r="EA25" s="290" t="s">
        <v>124</v>
      </c>
      <c r="EB25" s="290" t="s">
        <v>124</v>
      </c>
      <c r="EC25" s="290" t="s">
        <v>124</v>
      </c>
      <c r="ED25" s="290" t="s">
        <v>124</v>
      </c>
      <c r="EE25" s="290" t="s">
        <v>124</v>
      </c>
      <c r="EF25" s="290" t="s">
        <v>124</v>
      </c>
      <c r="EG25" s="290" t="s">
        <v>124</v>
      </c>
      <c r="EH25" s="290" t="s">
        <v>124</v>
      </c>
      <c r="EI25" s="290" t="s">
        <v>124</v>
      </c>
      <c r="EJ25" s="290" t="s">
        <v>124</v>
      </c>
      <c r="EK25" s="290" t="s">
        <v>124</v>
      </c>
      <c r="EL25" s="290" t="s">
        <v>124</v>
      </c>
      <c r="EM25" s="290" t="s">
        <v>124</v>
      </c>
      <c r="EN25" s="290" t="s">
        <v>124</v>
      </c>
      <c r="EO25" s="290" t="s">
        <v>124</v>
      </c>
      <c r="EP25" s="290" t="s">
        <v>124</v>
      </c>
      <c r="EQ25" s="290" t="s">
        <v>124</v>
      </c>
      <c r="ER25" s="290" t="s">
        <v>124</v>
      </c>
      <c r="ES25" s="290" t="s">
        <v>124</v>
      </c>
      <c r="ET25" s="290" t="s">
        <v>124</v>
      </c>
      <c r="EU25" s="294" t="s">
        <v>124</v>
      </c>
      <c r="EV25" s="286" t="s">
        <v>1114</v>
      </c>
      <c r="EW25" s="286" t="s">
        <v>1115</v>
      </c>
      <c r="EX25" s="286" t="s">
        <v>1116</v>
      </c>
      <c r="EY25" s="286" t="s">
        <v>1117</v>
      </c>
      <c r="EZ25" s="286" t="s">
        <v>68</v>
      </c>
      <c r="FA25" s="286" t="s">
        <v>68</v>
      </c>
      <c r="FB25" s="286" t="s">
        <v>68</v>
      </c>
      <c r="FC25" s="286" t="s">
        <v>68</v>
      </c>
      <c r="FD25" s="286" t="s">
        <v>1118</v>
      </c>
    </row>
    <row r="26" spans="2:160" s="6" customFormat="1" ht="13.5" customHeight="1" outlineLevel="4" x14ac:dyDescent="0.35">
      <c r="B26" s="295" t="s">
        <v>126</v>
      </c>
      <c r="C26" s="287" t="s">
        <v>134</v>
      </c>
      <c r="D26" s="287" t="s">
        <v>161</v>
      </c>
      <c r="E26" s="287" t="s">
        <v>164</v>
      </c>
      <c r="F26" s="287" t="s">
        <v>159</v>
      </c>
      <c r="G26" s="287" t="s">
        <v>166</v>
      </c>
      <c r="H26" s="296" t="s">
        <v>162</v>
      </c>
      <c r="I26" s="296" t="s">
        <v>158</v>
      </c>
      <c r="J26" s="288" t="s">
        <v>158</v>
      </c>
      <c r="K26" s="287" t="s">
        <v>158</v>
      </c>
      <c r="L26" s="289" t="s">
        <v>158</v>
      </c>
      <c r="M26" s="289" t="s">
        <v>158</v>
      </c>
      <c r="N26" s="289" t="s">
        <v>158</v>
      </c>
      <c r="O26" s="289" t="s">
        <v>158</v>
      </c>
      <c r="P26" s="290">
        <f t="shared" si="0"/>
        <v>0</v>
      </c>
      <c r="Q26" s="290" t="s">
        <v>67</v>
      </c>
      <c r="R26" s="290" t="s">
        <v>124</v>
      </c>
      <c r="S26" s="286" t="s">
        <v>156</v>
      </c>
      <c r="T26" s="286" t="s">
        <v>91</v>
      </c>
      <c r="U26" s="291" t="s">
        <v>32</v>
      </c>
      <c r="V26" s="292"/>
      <c r="W26" s="293"/>
      <c r="X26" s="293"/>
      <c r="Y26" s="293"/>
      <c r="Z26" s="293"/>
      <c r="AA26" s="293" t="s">
        <v>1135</v>
      </c>
      <c r="AB26" s="293"/>
      <c r="AC26" s="293"/>
      <c r="AD26" s="293"/>
      <c r="AE26" s="293"/>
      <c r="AF26" s="293"/>
      <c r="AG26" s="293"/>
      <c r="AH26" s="286" t="s">
        <v>192</v>
      </c>
      <c r="AI26" s="290" t="s">
        <v>124</v>
      </c>
      <c r="AJ26" s="290" t="s">
        <v>124</v>
      </c>
      <c r="AK26" s="290" t="s">
        <v>124</v>
      </c>
      <c r="AL26" s="290" t="s">
        <v>124</v>
      </c>
      <c r="AM26" s="290" t="s">
        <v>124</v>
      </c>
      <c r="AN26" s="290" t="s">
        <v>124</v>
      </c>
      <c r="AO26" s="290" t="s">
        <v>124</v>
      </c>
      <c r="AP26" s="290" t="s">
        <v>124</v>
      </c>
      <c r="AQ26" s="290" t="s">
        <v>124</v>
      </c>
      <c r="AR26" s="290" t="s">
        <v>124</v>
      </c>
      <c r="AS26" s="290" t="s">
        <v>124</v>
      </c>
      <c r="AT26" s="290" t="s">
        <v>124</v>
      </c>
      <c r="AU26" s="290" t="s">
        <v>124</v>
      </c>
      <c r="AV26" s="290" t="s">
        <v>124</v>
      </c>
      <c r="AW26" s="290" t="s">
        <v>124</v>
      </c>
      <c r="AX26" s="290" t="s">
        <v>124</v>
      </c>
      <c r="AY26" s="290" t="s">
        <v>124</v>
      </c>
      <c r="AZ26" s="290" t="s">
        <v>124</v>
      </c>
      <c r="BA26" s="290" t="s">
        <v>124</v>
      </c>
      <c r="BB26" s="290" t="s">
        <v>124</v>
      </c>
      <c r="BC26" s="290" t="s">
        <v>124</v>
      </c>
      <c r="BD26" s="290" t="s">
        <v>124</v>
      </c>
      <c r="BE26" s="290" t="s">
        <v>124</v>
      </c>
      <c r="BF26" s="290" t="s">
        <v>124</v>
      </c>
      <c r="BG26" s="290" t="s">
        <v>124</v>
      </c>
      <c r="BH26" s="290" t="s">
        <v>67</v>
      </c>
      <c r="BI26" s="290" t="s">
        <v>67</v>
      </c>
      <c r="BJ26" s="290" t="s">
        <v>67</v>
      </c>
      <c r="BK26" s="290" t="s">
        <v>124</v>
      </c>
      <c r="BL26" s="290" t="s">
        <v>124</v>
      </c>
      <c r="BM26" s="290" t="s">
        <v>124</v>
      </c>
      <c r="BN26" s="290" t="s">
        <v>124</v>
      </c>
      <c r="BO26" s="290" t="s">
        <v>124</v>
      </c>
      <c r="BP26" s="290" t="s">
        <v>124</v>
      </c>
      <c r="BQ26" s="290" t="s">
        <v>124</v>
      </c>
      <c r="BR26" s="290" t="s">
        <v>124</v>
      </c>
      <c r="BS26" s="290" t="s">
        <v>124</v>
      </c>
      <c r="BT26" s="290" t="s">
        <v>124</v>
      </c>
      <c r="BU26" s="290" t="s">
        <v>124</v>
      </c>
      <c r="BV26" s="290" t="s">
        <v>124</v>
      </c>
      <c r="BW26" s="290" t="s">
        <v>124</v>
      </c>
      <c r="BX26" s="290" t="s">
        <v>124</v>
      </c>
      <c r="BY26" s="290" t="s">
        <v>124</v>
      </c>
      <c r="BZ26" s="290" t="s">
        <v>124</v>
      </c>
      <c r="CA26" s="290" t="s">
        <v>124</v>
      </c>
      <c r="CB26" s="290" t="s">
        <v>124</v>
      </c>
      <c r="CC26" s="290" t="s">
        <v>124</v>
      </c>
      <c r="CD26" s="290" t="s">
        <v>124</v>
      </c>
      <c r="CE26" s="290" t="s">
        <v>124</v>
      </c>
      <c r="CF26" s="290" t="s">
        <v>124</v>
      </c>
      <c r="CG26" s="290" t="s">
        <v>124</v>
      </c>
      <c r="CH26" s="290" t="s">
        <v>124</v>
      </c>
      <c r="CI26" s="290" t="s">
        <v>124</v>
      </c>
      <c r="CJ26" s="290" t="s">
        <v>124</v>
      </c>
      <c r="CK26" s="290" t="s">
        <v>124</v>
      </c>
      <c r="CL26" s="290" t="s">
        <v>124</v>
      </c>
      <c r="CM26" s="290" t="s">
        <v>124</v>
      </c>
      <c r="CN26" s="290" t="s">
        <v>124</v>
      </c>
      <c r="CO26" s="290" t="s">
        <v>124</v>
      </c>
      <c r="CP26" s="290" t="s">
        <v>124</v>
      </c>
      <c r="CQ26" s="290" t="s">
        <v>124</v>
      </c>
      <c r="CR26" s="290" t="s">
        <v>124</v>
      </c>
      <c r="CS26" s="290" t="s">
        <v>124</v>
      </c>
      <c r="CT26" s="290" t="s">
        <v>124</v>
      </c>
      <c r="CU26" s="290" t="s">
        <v>124</v>
      </c>
      <c r="CV26" s="290" t="s">
        <v>124</v>
      </c>
      <c r="CW26" s="290" t="s">
        <v>124</v>
      </c>
      <c r="CX26" s="290" t="s">
        <v>124</v>
      </c>
      <c r="CY26" s="290" t="s">
        <v>124</v>
      </c>
      <c r="CZ26" s="290" t="s">
        <v>124</v>
      </c>
      <c r="DA26" s="290" t="s">
        <v>124</v>
      </c>
      <c r="DB26" s="290" t="s">
        <v>124</v>
      </c>
      <c r="DC26" s="290" t="s">
        <v>124</v>
      </c>
      <c r="DD26" s="290" t="s">
        <v>124</v>
      </c>
      <c r="DE26" s="290" t="s">
        <v>124</v>
      </c>
      <c r="DF26" s="290" t="s">
        <v>124</v>
      </c>
      <c r="DG26" s="290" t="s">
        <v>124</v>
      </c>
      <c r="DH26" s="290" t="s">
        <v>124</v>
      </c>
      <c r="DI26" s="290" t="s">
        <v>124</v>
      </c>
      <c r="DJ26" s="290" t="s">
        <v>124</v>
      </c>
      <c r="DK26" s="290" t="s">
        <v>124</v>
      </c>
      <c r="DL26" s="290" t="s">
        <v>124</v>
      </c>
      <c r="DM26" s="290" t="s">
        <v>124</v>
      </c>
      <c r="DN26" s="290" t="s">
        <v>124</v>
      </c>
      <c r="DO26" s="290" t="s">
        <v>124</v>
      </c>
      <c r="DP26" s="290" t="s">
        <v>124</v>
      </c>
      <c r="DQ26" s="290" t="s">
        <v>124</v>
      </c>
      <c r="DR26" s="290" t="s">
        <v>124</v>
      </c>
      <c r="DS26" s="290" t="s">
        <v>124</v>
      </c>
      <c r="DT26" s="290" t="s">
        <v>124</v>
      </c>
      <c r="DU26" s="290" t="s">
        <v>124</v>
      </c>
      <c r="DV26" s="290" t="s">
        <v>124</v>
      </c>
      <c r="DW26" s="290" t="s">
        <v>124</v>
      </c>
      <c r="DX26" s="290" t="s">
        <v>124</v>
      </c>
      <c r="DY26" s="290" t="s">
        <v>124</v>
      </c>
      <c r="DZ26" s="290" t="s">
        <v>124</v>
      </c>
      <c r="EA26" s="290" t="s">
        <v>124</v>
      </c>
      <c r="EB26" s="290" t="s">
        <v>124</v>
      </c>
      <c r="EC26" s="290" t="s">
        <v>124</v>
      </c>
      <c r="ED26" s="290" t="s">
        <v>124</v>
      </c>
      <c r="EE26" s="290" t="s">
        <v>124</v>
      </c>
      <c r="EF26" s="290" t="s">
        <v>124</v>
      </c>
      <c r="EG26" s="290" t="s">
        <v>124</v>
      </c>
      <c r="EH26" s="290" t="s">
        <v>124</v>
      </c>
      <c r="EI26" s="290" t="s">
        <v>124</v>
      </c>
      <c r="EJ26" s="290" t="s">
        <v>124</v>
      </c>
      <c r="EK26" s="290" t="s">
        <v>124</v>
      </c>
      <c r="EL26" s="290" t="s">
        <v>124</v>
      </c>
      <c r="EM26" s="290" t="s">
        <v>124</v>
      </c>
      <c r="EN26" s="290" t="s">
        <v>124</v>
      </c>
      <c r="EO26" s="290" t="s">
        <v>124</v>
      </c>
      <c r="EP26" s="290" t="s">
        <v>124</v>
      </c>
      <c r="EQ26" s="290" t="s">
        <v>124</v>
      </c>
      <c r="ER26" s="290" t="s">
        <v>124</v>
      </c>
      <c r="ES26" s="290" t="s">
        <v>124</v>
      </c>
      <c r="ET26" s="290" t="s">
        <v>124</v>
      </c>
      <c r="EU26" s="294" t="s">
        <v>124</v>
      </c>
      <c r="EV26" s="286" t="s">
        <v>1114</v>
      </c>
      <c r="EW26" s="286" t="s">
        <v>1115</v>
      </c>
      <c r="EX26" s="286" t="s">
        <v>1116</v>
      </c>
      <c r="EY26" s="286" t="s">
        <v>1117</v>
      </c>
      <c r="EZ26" s="286" t="s">
        <v>68</v>
      </c>
      <c r="FA26" s="286" t="s">
        <v>68</v>
      </c>
      <c r="FB26" s="286" t="s">
        <v>68</v>
      </c>
      <c r="FC26" s="286" t="s">
        <v>68</v>
      </c>
      <c r="FD26" s="286" t="s">
        <v>1118</v>
      </c>
    </row>
    <row r="27" spans="2:160" s="6" customFormat="1" ht="13.5" customHeight="1" outlineLevel="4" x14ac:dyDescent="0.35">
      <c r="B27" s="286" t="s">
        <v>68</v>
      </c>
      <c r="C27" s="287" t="s">
        <v>134</v>
      </c>
      <c r="D27" s="287" t="s">
        <v>161</v>
      </c>
      <c r="E27" s="287" t="s">
        <v>164</v>
      </c>
      <c r="F27" s="287" t="s">
        <v>159</v>
      </c>
      <c r="G27" s="287" t="s">
        <v>166</v>
      </c>
      <c r="H27" s="296" t="s">
        <v>163</v>
      </c>
      <c r="I27" s="296" t="s">
        <v>158</v>
      </c>
      <c r="J27" s="288" t="s">
        <v>158</v>
      </c>
      <c r="K27" s="287" t="s">
        <v>158</v>
      </c>
      <c r="L27" s="289" t="s">
        <v>158</v>
      </c>
      <c r="M27" s="289" t="s">
        <v>158</v>
      </c>
      <c r="N27" s="289" t="s">
        <v>158</v>
      </c>
      <c r="O27" s="289" t="s">
        <v>158</v>
      </c>
      <c r="P27" s="290">
        <f t="shared" si="0"/>
        <v>0</v>
      </c>
      <c r="Q27" s="290" t="s">
        <v>124</v>
      </c>
      <c r="R27" s="290" t="s">
        <v>124</v>
      </c>
      <c r="S27" s="290" t="s">
        <v>68</v>
      </c>
      <c r="T27" s="286" t="s">
        <v>91</v>
      </c>
      <c r="U27" s="291" t="s">
        <v>34</v>
      </c>
      <c r="V27" s="292"/>
      <c r="W27" s="293"/>
      <c r="X27" s="293"/>
      <c r="Y27" s="293"/>
      <c r="Z27" s="293"/>
      <c r="AA27" s="293" t="s">
        <v>1136</v>
      </c>
      <c r="AB27" s="293"/>
      <c r="AC27" s="293"/>
      <c r="AD27" s="293"/>
      <c r="AE27" s="293"/>
      <c r="AF27" s="293"/>
      <c r="AG27" s="293"/>
      <c r="AH27" s="286" t="s">
        <v>193</v>
      </c>
      <c r="AI27" s="290" t="s">
        <v>68</v>
      </c>
      <c r="AJ27" s="290" t="s">
        <v>68</v>
      </c>
      <c r="AK27" s="290" t="s">
        <v>68</v>
      </c>
      <c r="AL27" s="290" t="s">
        <v>68</v>
      </c>
      <c r="AM27" s="290" t="s">
        <v>68</v>
      </c>
      <c r="AN27" s="290" t="s">
        <v>68</v>
      </c>
      <c r="AO27" s="290" t="s">
        <v>68</v>
      </c>
      <c r="AP27" s="290" t="s">
        <v>68</v>
      </c>
      <c r="AQ27" s="290" t="s">
        <v>68</v>
      </c>
      <c r="AR27" s="290" t="s">
        <v>68</v>
      </c>
      <c r="AS27" s="290" t="s">
        <v>68</v>
      </c>
      <c r="AT27" s="290" t="s">
        <v>68</v>
      </c>
      <c r="AU27" s="290" t="s">
        <v>68</v>
      </c>
      <c r="AV27" s="290" t="s">
        <v>68</v>
      </c>
      <c r="AW27" s="290" t="s">
        <v>68</v>
      </c>
      <c r="AX27" s="290" t="s">
        <v>68</v>
      </c>
      <c r="AY27" s="290" t="s">
        <v>68</v>
      </c>
      <c r="AZ27" s="290" t="s">
        <v>68</v>
      </c>
      <c r="BA27" s="290" t="s">
        <v>68</v>
      </c>
      <c r="BB27" s="290" t="s">
        <v>68</v>
      </c>
      <c r="BC27" s="290" t="s">
        <v>68</v>
      </c>
      <c r="BD27" s="290" t="s">
        <v>68</v>
      </c>
      <c r="BE27" s="290" t="s">
        <v>68</v>
      </c>
      <c r="BF27" s="290" t="s">
        <v>68</v>
      </c>
      <c r="BG27" s="290" t="s">
        <v>68</v>
      </c>
      <c r="BH27" s="290" t="s">
        <v>68</v>
      </c>
      <c r="BI27" s="290" t="s">
        <v>68</v>
      </c>
      <c r="BJ27" s="290" t="s">
        <v>68</v>
      </c>
      <c r="BK27" s="290" t="s">
        <v>68</v>
      </c>
      <c r="BL27" s="290" t="s">
        <v>68</v>
      </c>
      <c r="BM27" s="290" t="s">
        <v>68</v>
      </c>
      <c r="BN27" s="290" t="s">
        <v>68</v>
      </c>
      <c r="BO27" s="290" t="s">
        <v>68</v>
      </c>
      <c r="BP27" s="290" t="s">
        <v>68</v>
      </c>
      <c r="BQ27" s="290" t="s">
        <v>68</v>
      </c>
      <c r="BR27" s="290" t="s">
        <v>68</v>
      </c>
      <c r="BS27" s="290" t="s">
        <v>68</v>
      </c>
      <c r="BT27" s="290" t="s">
        <v>68</v>
      </c>
      <c r="BU27" s="290" t="s">
        <v>68</v>
      </c>
      <c r="BV27" s="290" t="s">
        <v>68</v>
      </c>
      <c r="BW27" s="290" t="s">
        <v>68</v>
      </c>
      <c r="BX27" s="290" t="s">
        <v>68</v>
      </c>
      <c r="BY27" s="290" t="s">
        <v>68</v>
      </c>
      <c r="BZ27" s="290" t="s">
        <v>68</v>
      </c>
      <c r="CA27" s="290" t="s">
        <v>68</v>
      </c>
      <c r="CB27" s="290" t="s">
        <v>68</v>
      </c>
      <c r="CC27" s="290" t="s">
        <v>68</v>
      </c>
      <c r="CD27" s="290" t="s">
        <v>68</v>
      </c>
      <c r="CE27" s="290" t="s">
        <v>68</v>
      </c>
      <c r="CF27" s="290" t="s">
        <v>68</v>
      </c>
      <c r="CG27" s="290" t="s">
        <v>68</v>
      </c>
      <c r="CH27" s="290" t="s">
        <v>68</v>
      </c>
      <c r="CI27" s="290" t="s">
        <v>68</v>
      </c>
      <c r="CJ27" s="290" t="s">
        <v>68</v>
      </c>
      <c r="CK27" s="290" t="s">
        <v>68</v>
      </c>
      <c r="CL27" s="290" t="s">
        <v>68</v>
      </c>
      <c r="CM27" s="290" t="s">
        <v>68</v>
      </c>
      <c r="CN27" s="290" t="s">
        <v>68</v>
      </c>
      <c r="CO27" s="290" t="s">
        <v>68</v>
      </c>
      <c r="CP27" s="290" t="s">
        <v>68</v>
      </c>
      <c r="CQ27" s="290" t="s">
        <v>68</v>
      </c>
      <c r="CR27" s="290" t="s">
        <v>68</v>
      </c>
      <c r="CS27" s="290" t="s">
        <v>68</v>
      </c>
      <c r="CT27" s="290" t="s">
        <v>68</v>
      </c>
      <c r="CU27" s="290" t="s">
        <v>68</v>
      </c>
      <c r="CV27" s="290" t="s">
        <v>68</v>
      </c>
      <c r="CW27" s="290" t="s">
        <v>68</v>
      </c>
      <c r="CX27" s="290" t="s">
        <v>68</v>
      </c>
      <c r="CY27" s="290" t="s">
        <v>68</v>
      </c>
      <c r="CZ27" s="290" t="s">
        <v>68</v>
      </c>
      <c r="DA27" s="290" t="s">
        <v>68</v>
      </c>
      <c r="DB27" s="290" t="s">
        <v>68</v>
      </c>
      <c r="DC27" s="290" t="s">
        <v>68</v>
      </c>
      <c r="DD27" s="290" t="s">
        <v>68</v>
      </c>
      <c r="DE27" s="290" t="s">
        <v>68</v>
      </c>
      <c r="DF27" s="290" t="s">
        <v>68</v>
      </c>
      <c r="DG27" s="290" t="s">
        <v>68</v>
      </c>
      <c r="DH27" s="290" t="s">
        <v>68</v>
      </c>
      <c r="DI27" s="290" t="s">
        <v>68</v>
      </c>
      <c r="DJ27" s="290" t="s">
        <v>68</v>
      </c>
      <c r="DK27" s="290" t="s">
        <v>68</v>
      </c>
      <c r="DL27" s="290" t="s">
        <v>68</v>
      </c>
      <c r="DM27" s="290" t="s">
        <v>68</v>
      </c>
      <c r="DN27" s="290" t="s">
        <v>68</v>
      </c>
      <c r="DO27" s="290" t="s">
        <v>68</v>
      </c>
      <c r="DP27" s="290" t="s">
        <v>68</v>
      </c>
      <c r="DQ27" s="290" t="s">
        <v>68</v>
      </c>
      <c r="DR27" s="290" t="s">
        <v>68</v>
      </c>
      <c r="DS27" s="290" t="s">
        <v>68</v>
      </c>
      <c r="DT27" s="290" t="s">
        <v>68</v>
      </c>
      <c r="DU27" s="290" t="s">
        <v>68</v>
      </c>
      <c r="DV27" s="290" t="s">
        <v>68</v>
      </c>
      <c r="DW27" s="290" t="s">
        <v>68</v>
      </c>
      <c r="DX27" s="290" t="s">
        <v>68</v>
      </c>
      <c r="DY27" s="290" t="s">
        <v>68</v>
      </c>
      <c r="DZ27" s="290" t="s">
        <v>68</v>
      </c>
      <c r="EA27" s="290" t="s">
        <v>68</v>
      </c>
      <c r="EB27" s="290" t="s">
        <v>68</v>
      </c>
      <c r="EC27" s="290" t="s">
        <v>68</v>
      </c>
      <c r="ED27" s="290" t="s">
        <v>68</v>
      </c>
      <c r="EE27" s="290" t="s">
        <v>68</v>
      </c>
      <c r="EF27" s="290" t="s">
        <v>68</v>
      </c>
      <c r="EG27" s="290" t="s">
        <v>68</v>
      </c>
      <c r="EH27" s="290" t="s">
        <v>68</v>
      </c>
      <c r="EI27" s="290" t="s">
        <v>68</v>
      </c>
      <c r="EJ27" s="290" t="s">
        <v>68</v>
      </c>
      <c r="EK27" s="290" t="s">
        <v>68</v>
      </c>
      <c r="EL27" s="290" t="s">
        <v>68</v>
      </c>
      <c r="EM27" s="290" t="s">
        <v>68</v>
      </c>
      <c r="EN27" s="290" t="s">
        <v>68</v>
      </c>
      <c r="EO27" s="290" t="s">
        <v>68</v>
      </c>
      <c r="EP27" s="290" t="s">
        <v>68</v>
      </c>
      <c r="EQ27" s="290" t="s">
        <v>68</v>
      </c>
      <c r="ER27" s="290" t="s">
        <v>68</v>
      </c>
      <c r="ES27" s="290" t="s">
        <v>68</v>
      </c>
      <c r="ET27" s="290" t="s">
        <v>68</v>
      </c>
      <c r="EU27" s="294" t="s">
        <v>68</v>
      </c>
      <c r="EV27" s="286" t="s">
        <v>68</v>
      </c>
      <c r="EW27" s="286" t="s">
        <v>68</v>
      </c>
      <c r="EX27" s="286" t="s">
        <v>68</v>
      </c>
      <c r="EY27" s="286" t="s">
        <v>68</v>
      </c>
      <c r="EZ27" s="286" t="s">
        <v>68</v>
      </c>
      <c r="FA27" s="286" t="s">
        <v>68</v>
      </c>
      <c r="FB27" s="286" t="s">
        <v>68</v>
      </c>
      <c r="FC27" s="286" t="s">
        <v>68</v>
      </c>
      <c r="FD27" s="286" t="s">
        <v>68</v>
      </c>
    </row>
    <row r="28" spans="2:160" s="6" customFormat="1" ht="13.5" customHeight="1" outlineLevel="5" x14ac:dyDescent="0.35">
      <c r="B28" s="295" t="s">
        <v>126</v>
      </c>
      <c r="C28" s="287" t="s">
        <v>134</v>
      </c>
      <c r="D28" s="287" t="s">
        <v>161</v>
      </c>
      <c r="E28" s="287" t="s">
        <v>164</v>
      </c>
      <c r="F28" s="287" t="s">
        <v>159</v>
      </c>
      <c r="G28" s="287" t="s">
        <v>166</v>
      </c>
      <c r="H28" s="296" t="s">
        <v>163</v>
      </c>
      <c r="I28" s="296" t="s">
        <v>159</v>
      </c>
      <c r="J28" s="288" t="s">
        <v>158</v>
      </c>
      <c r="K28" s="287" t="s">
        <v>158</v>
      </c>
      <c r="L28" s="289" t="s">
        <v>158</v>
      </c>
      <c r="M28" s="289" t="s">
        <v>158</v>
      </c>
      <c r="N28" s="289" t="s">
        <v>158</v>
      </c>
      <c r="O28" s="289" t="s">
        <v>158</v>
      </c>
      <c r="P28" s="290">
        <f t="shared" si="0"/>
        <v>0</v>
      </c>
      <c r="Q28" s="290" t="s">
        <v>67</v>
      </c>
      <c r="R28" s="290" t="s">
        <v>124</v>
      </c>
      <c r="S28" s="286" t="s">
        <v>156</v>
      </c>
      <c r="T28" s="286" t="s">
        <v>91</v>
      </c>
      <c r="U28" s="291" t="s">
        <v>36</v>
      </c>
      <c r="V28" s="292"/>
      <c r="W28" s="293"/>
      <c r="X28" s="293"/>
      <c r="Y28" s="293"/>
      <c r="Z28" s="293"/>
      <c r="AA28" s="293"/>
      <c r="AB28" s="293" t="s">
        <v>1137</v>
      </c>
      <c r="AC28" s="293"/>
      <c r="AD28" s="293"/>
      <c r="AE28" s="293"/>
      <c r="AF28" s="293"/>
      <c r="AG28" s="293"/>
      <c r="AH28" s="286" t="s">
        <v>194</v>
      </c>
      <c r="AI28" s="290" t="s">
        <v>124</v>
      </c>
      <c r="AJ28" s="290" t="s">
        <v>124</v>
      </c>
      <c r="AK28" s="290" t="s">
        <v>124</v>
      </c>
      <c r="AL28" s="290" t="s">
        <v>124</v>
      </c>
      <c r="AM28" s="290" t="s">
        <v>124</v>
      </c>
      <c r="AN28" s="290" t="s">
        <v>124</v>
      </c>
      <c r="AO28" s="290" t="s">
        <v>124</v>
      </c>
      <c r="AP28" s="290" t="s">
        <v>124</v>
      </c>
      <c r="AQ28" s="290" t="s">
        <v>124</v>
      </c>
      <c r="AR28" s="290" t="s">
        <v>124</v>
      </c>
      <c r="AS28" s="290" t="s">
        <v>124</v>
      </c>
      <c r="AT28" s="290" t="s">
        <v>124</v>
      </c>
      <c r="AU28" s="290" t="s">
        <v>124</v>
      </c>
      <c r="AV28" s="290" t="s">
        <v>124</v>
      </c>
      <c r="AW28" s="290" t="s">
        <v>124</v>
      </c>
      <c r="AX28" s="290" t="s">
        <v>124</v>
      </c>
      <c r="AY28" s="290" t="s">
        <v>124</v>
      </c>
      <c r="AZ28" s="290" t="s">
        <v>124</v>
      </c>
      <c r="BA28" s="290" t="s">
        <v>124</v>
      </c>
      <c r="BB28" s="290" t="s">
        <v>124</v>
      </c>
      <c r="BC28" s="290" t="s">
        <v>124</v>
      </c>
      <c r="BD28" s="290" t="s">
        <v>124</v>
      </c>
      <c r="BE28" s="290" t="s">
        <v>124</v>
      </c>
      <c r="BF28" s="290" t="s">
        <v>124</v>
      </c>
      <c r="BG28" s="290" t="s">
        <v>124</v>
      </c>
      <c r="BH28" s="290" t="s">
        <v>67</v>
      </c>
      <c r="BI28" s="290" t="s">
        <v>67</v>
      </c>
      <c r="BJ28" s="290" t="s">
        <v>67</v>
      </c>
      <c r="BK28" s="290" t="s">
        <v>124</v>
      </c>
      <c r="BL28" s="290" t="s">
        <v>124</v>
      </c>
      <c r="BM28" s="290" t="s">
        <v>124</v>
      </c>
      <c r="BN28" s="290" t="s">
        <v>124</v>
      </c>
      <c r="BO28" s="290" t="s">
        <v>124</v>
      </c>
      <c r="BP28" s="290" t="s">
        <v>124</v>
      </c>
      <c r="BQ28" s="290" t="s">
        <v>124</v>
      </c>
      <c r="BR28" s="290" t="s">
        <v>124</v>
      </c>
      <c r="BS28" s="290" t="s">
        <v>124</v>
      </c>
      <c r="BT28" s="290" t="s">
        <v>124</v>
      </c>
      <c r="BU28" s="290" t="s">
        <v>124</v>
      </c>
      <c r="BV28" s="290" t="s">
        <v>124</v>
      </c>
      <c r="BW28" s="290" t="s">
        <v>124</v>
      </c>
      <c r="BX28" s="290" t="s">
        <v>124</v>
      </c>
      <c r="BY28" s="290" t="s">
        <v>124</v>
      </c>
      <c r="BZ28" s="290" t="s">
        <v>124</v>
      </c>
      <c r="CA28" s="290" t="s">
        <v>124</v>
      </c>
      <c r="CB28" s="290" t="s">
        <v>124</v>
      </c>
      <c r="CC28" s="290" t="s">
        <v>124</v>
      </c>
      <c r="CD28" s="290" t="s">
        <v>124</v>
      </c>
      <c r="CE28" s="290" t="s">
        <v>124</v>
      </c>
      <c r="CF28" s="290" t="s">
        <v>124</v>
      </c>
      <c r="CG28" s="290" t="s">
        <v>124</v>
      </c>
      <c r="CH28" s="290" t="s">
        <v>124</v>
      </c>
      <c r="CI28" s="290" t="s">
        <v>124</v>
      </c>
      <c r="CJ28" s="290" t="s">
        <v>124</v>
      </c>
      <c r="CK28" s="290" t="s">
        <v>124</v>
      </c>
      <c r="CL28" s="290" t="s">
        <v>124</v>
      </c>
      <c r="CM28" s="290" t="s">
        <v>124</v>
      </c>
      <c r="CN28" s="290" t="s">
        <v>124</v>
      </c>
      <c r="CO28" s="290" t="s">
        <v>124</v>
      </c>
      <c r="CP28" s="290" t="s">
        <v>124</v>
      </c>
      <c r="CQ28" s="290" t="s">
        <v>124</v>
      </c>
      <c r="CR28" s="290" t="s">
        <v>124</v>
      </c>
      <c r="CS28" s="290" t="s">
        <v>124</v>
      </c>
      <c r="CT28" s="290" t="s">
        <v>124</v>
      </c>
      <c r="CU28" s="290" t="s">
        <v>124</v>
      </c>
      <c r="CV28" s="290" t="s">
        <v>124</v>
      </c>
      <c r="CW28" s="290" t="s">
        <v>124</v>
      </c>
      <c r="CX28" s="290" t="s">
        <v>124</v>
      </c>
      <c r="CY28" s="290" t="s">
        <v>124</v>
      </c>
      <c r="CZ28" s="290" t="s">
        <v>124</v>
      </c>
      <c r="DA28" s="290" t="s">
        <v>124</v>
      </c>
      <c r="DB28" s="290" t="s">
        <v>124</v>
      </c>
      <c r="DC28" s="290" t="s">
        <v>124</v>
      </c>
      <c r="DD28" s="290" t="s">
        <v>124</v>
      </c>
      <c r="DE28" s="290" t="s">
        <v>124</v>
      </c>
      <c r="DF28" s="290" t="s">
        <v>124</v>
      </c>
      <c r="DG28" s="290" t="s">
        <v>124</v>
      </c>
      <c r="DH28" s="290" t="s">
        <v>124</v>
      </c>
      <c r="DI28" s="290" t="s">
        <v>124</v>
      </c>
      <c r="DJ28" s="290" t="s">
        <v>124</v>
      </c>
      <c r="DK28" s="290" t="s">
        <v>124</v>
      </c>
      <c r="DL28" s="290" t="s">
        <v>124</v>
      </c>
      <c r="DM28" s="290" t="s">
        <v>124</v>
      </c>
      <c r="DN28" s="290" t="s">
        <v>124</v>
      </c>
      <c r="DO28" s="290" t="s">
        <v>124</v>
      </c>
      <c r="DP28" s="290" t="s">
        <v>124</v>
      </c>
      <c r="DQ28" s="290" t="s">
        <v>124</v>
      </c>
      <c r="DR28" s="290" t="s">
        <v>124</v>
      </c>
      <c r="DS28" s="290" t="s">
        <v>124</v>
      </c>
      <c r="DT28" s="290" t="s">
        <v>124</v>
      </c>
      <c r="DU28" s="290" t="s">
        <v>124</v>
      </c>
      <c r="DV28" s="290" t="s">
        <v>124</v>
      </c>
      <c r="DW28" s="290" t="s">
        <v>124</v>
      </c>
      <c r="DX28" s="290" t="s">
        <v>124</v>
      </c>
      <c r="DY28" s="290" t="s">
        <v>124</v>
      </c>
      <c r="DZ28" s="290" t="s">
        <v>124</v>
      </c>
      <c r="EA28" s="290" t="s">
        <v>124</v>
      </c>
      <c r="EB28" s="290" t="s">
        <v>124</v>
      </c>
      <c r="EC28" s="290" t="s">
        <v>124</v>
      </c>
      <c r="ED28" s="290" t="s">
        <v>124</v>
      </c>
      <c r="EE28" s="290" t="s">
        <v>124</v>
      </c>
      <c r="EF28" s="290" t="s">
        <v>124</v>
      </c>
      <c r="EG28" s="290" t="s">
        <v>124</v>
      </c>
      <c r="EH28" s="290" t="s">
        <v>124</v>
      </c>
      <c r="EI28" s="290" t="s">
        <v>124</v>
      </c>
      <c r="EJ28" s="290" t="s">
        <v>124</v>
      </c>
      <c r="EK28" s="290" t="s">
        <v>124</v>
      </c>
      <c r="EL28" s="290" t="s">
        <v>124</v>
      </c>
      <c r="EM28" s="290" t="s">
        <v>124</v>
      </c>
      <c r="EN28" s="290" t="s">
        <v>124</v>
      </c>
      <c r="EO28" s="290" t="s">
        <v>124</v>
      </c>
      <c r="EP28" s="290" t="s">
        <v>124</v>
      </c>
      <c r="EQ28" s="290" t="s">
        <v>124</v>
      </c>
      <c r="ER28" s="290" t="s">
        <v>124</v>
      </c>
      <c r="ES28" s="290" t="s">
        <v>124</v>
      </c>
      <c r="ET28" s="290" t="s">
        <v>124</v>
      </c>
      <c r="EU28" s="294" t="s">
        <v>124</v>
      </c>
      <c r="EV28" s="286" t="s">
        <v>1114</v>
      </c>
      <c r="EW28" s="286" t="s">
        <v>1115</v>
      </c>
      <c r="EX28" s="286" t="s">
        <v>1116</v>
      </c>
      <c r="EY28" s="286" t="s">
        <v>1117</v>
      </c>
      <c r="EZ28" s="286" t="s">
        <v>68</v>
      </c>
      <c r="FA28" s="286" t="s">
        <v>68</v>
      </c>
      <c r="FB28" s="286" t="s">
        <v>68</v>
      </c>
      <c r="FC28" s="286" t="s">
        <v>68</v>
      </c>
      <c r="FD28" s="286" t="s">
        <v>1118</v>
      </c>
    </row>
    <row r="29" spans="2:160" s="6" customFormat="1" ht="13.5" customHeight="1" outlineLevel="5" x14ac:dyDescent="0.35">
      <c r="B29" s="295" t="s">
        <v>126</v>
      </c>
      <c r="C29" s="287" t="s">
        <v>134</v>
      </c>
      <c r="D29" s="287" t="s">
        <v>161</v>
      </c>
      <c r="E29" s="287" t="s">
        <v>164</v>
      </c>
      <c r="F29" s="287" t="s">
        <v>159</v>
      </c>
      <c r="G29" s="287" t="s">
        <v>166</v>
      </c>
      <c r="H29" s="296" t="s">
        <v>163</v>
      </c>
      <c r="I29" s="296" t="s">
        <v>160</v>
      </c>
      <c r="J29" s="288" t="s">
        <v>158</v>
      </c>
      <c r="K29" s="287" t="s">
        <v>158</v>
      </c>
      <c r="L29" s="289" t="s">
        <v>158</v>
      </c>
      <c r="M29" s="289" t="s">
        <v>158</v>
      </c>
      <c r="N29" s="289" t="s">
        <v>158</v>
      </c>
      <c r="O29" s="289" t="s">
        <v>158</v>
      </c>
      <c r="P29" s="290">
        <f t="shared" si="0"/>
        <v>0</v>
      </c>
      <c r="Q29" s="290" t="s">
        <v>67</v>
      </c>
      <c r="R29" s="290" t="s">
        <v>124</v>
      </c>
      <c r="S29" s="286" t="s">
        <v>156</v>
      </c>
      <c r="T29" s="286" t="s">
        <v>91</v>
      </c>
      <c r="U29" s="291" t="s">
        <v>36</v>
      </c>
      <c r="V29" s="292"/>
      <c r="W29" s="293"/>
      <c r="X29" s="293"/>
      <c r="Y29" s="293"/>
      <c r="Z29" s="293"/>
      <c r="AA29" s="293"/>
      <c r="AB29" s="293" t="s">
        <v>1138</v>
      </c>
      <c r="AC29" s="293"/>
      <c r="AD29" s="293"/>
      <c r="AE29" s="293"/>
      <c r="AF29" s="293"/>
      <c r="AG29" s="293"/>
      <c r="AH29" s="286" t="s">
        <v>195</v>
      </c>
      <c r="AI29" s="290" t="s">
        <v>124</v>
      </c>
      <c r="AJ29" s="290" t="s">
        <v>124</v>
      </c>
      <c r="AK29" s="290" t="s">
        <v>124</v>
      </c>
      <c r="AL29" s="290" t="s">
        <v>124</v>
      </c>
      <c r="AM29" s="290" t="s">
        <v>124</v>
      </c>
      <c r="AN29" s="290" t="s">
        <v>124</v>
      </c>
      <c r="AO29" s="290" t="s">
        <v>124</v>
      </c>
      <c r="AP29" s="290" t="s">
        <v>124</v>
      </c>
      <c r="AQ29" s="290" t="s">
        <v>124</v>
      </c>
      <c r="AR29" s="290" t="s">
        <v>124</v>
      </c>
      <c r="AS29" s="290" t="s">
        <v>124</v>
      </c>
      <c r="AT29" s="290" t="s">
        <v>124</v>
      </c>
      <c r="AU29" s="290" t="s">
        <v>124</v>
      </c>
      <c r="AV29" s="290" t="s">
        <v>124</v>
      </c>
      <c r="AW29" s="290" t="s">
        <v>124</v>
      </c>
      <c r="AX29" s="290" t="s">
        <v>124</v>
      </c>
      <c r="AY29" s="290" t="s">
        <v>124</v>
      </c>
      <c r="AZ29" s="290" t="s">
        <v>124</v>
      </c>
      <c r="BA29" s="290" t="s">
        <v>124</v>
      </c>
      <c r="BB29" s="290" t="s">
        <v>124</v>
      </c>
      <c r="BC29" s="290" t="s">
        <v>124</v>
      </c>
      <c r="BD29" s="290" t="s">
        <v>124</v>
      </c>
      <c r="BE29" s="290" t="s">
        <v>124</v>
      </c>
      <c r="BF29" s="290" t="s">
        <v>124</v>
      </c>
      <c r="BG29" s="290" t="s">
        <v>124</v>
      </c>
      <c r="BH29" s="290" t="s">
        <v>67</v>
      </c>
      <c r="BI29" s="290" t="s">
        <v>67</v>
      </c>
      <c r="BJ29" s="290" t="s">
        <v>67</v>
      </c>
      <c r="BK29" s="290" t="s">
        <v>124</v>
      </c>
      <c r="BL29" s="290" t="s">
        <v>124</v>
      </c>
      <c r="BM29" s="290" t="s">
        <v>124</v>
      </c>
      <c r="BN29" s="290" t="s">
        <v>124</v>
      </c>
      <c r="BO29" s="290" t="s">
        <v>124</v>
      </c>
      <c r="BP29" s="290" t="s">
        <v>124</v>
      </c>
      <c r="BQ29" s="290" t="s">
        <v>124</v>
      </c>
      <c r="BR29" s="290" t="s">
        <v>124</v>
      </c>
      <c r="BS29" s="290" t="s">
        <v>124</v>
      </c>
      <c r="BT29" s="290" t="s">
        <v>124</v>
      </c>
      <c r="BU29" s="290" t="s">
        <v>124</v>
      </c>
      <c r="BV29" s="290" t="s">
        <v>124</v>
      </c>
      <c r="BW29" s="290" t="s">
        <v>124</v>
      </c>
      <c r="BX29" s="290" t="s">
        <v>124</v>
      </c>
      <c r="BY29" s="290" t="s">
        <v>124</v>
      </c>
      <c r="BZ29" s="290" t="s">
        <v>124</v>
      </c>
      <c r="CA29" s="290" t="s">
        <v>124</v>
      </c>
      <c r="CB29" s="290" t="s">
        <v>124</v>
      </c>
      <c r="CC29" s="290" t="s">
        <v>124</v>
      </c>
      <c r="CD29" s="290" t="s">
        <v>124</v>
      </c>
      <c r="CE29" s="290" t="s">
        <v>124</v>
      </c>
      <c r="CF29" s="290" t="s">
        <v>124</v>
      </c>
      <c r="CG29" s="290" t="s">
        <v>124</v>
      </c>
      <c r="CH29" s="290" t="s">
        <v>124</v>
      </c>
      <c r="CI29" s="290" t="s">
        <v>124</v>
      </c>
      <c r="CJ29" s="290" t="s">
        <v>124</v>
      </c>
      <c r="CK29" s="290" t="s">
        <v>124</v>
      </c>
      <c r="CL29" s="290" t="s">
        <v>124</v>
      </c>
      <c r="CM29" s="290" t="s">
        <v>124</v>
      </c>
      <c r="CN29" s="290" t="s">
        <v>124</v>
      </c>
      <c r="CO29" s="290" t="s">
        <v>124</v>
      </c>
      <c r="CP29" s="290" t="s">
        <v>124</v>
      </c>
      <c r="CQ29" s="290" t="s">
        <v>124</v>
      </c>
      <c r="CR29" s="290" t="s">
        <v>124</v>
      </c>
      <c r="CS29" s="290" t="s">
        <v>124</v>
      </c>
      <c r="CT29" s="290" t="s">
        <v>124</v>
      </c>
      <c r="CU29" s="290" t="s">
        <v>124</v>
      </c>
      <c r="CV29" s="290" t="s">
        <v>124</v>
      </c>
      <c r="CW29" s="290" t="s">
        <v>124</v>
      </c>
      <c r="CX29" s="290" t="s">
        <v>124</v>
      </c>
      <c r="CY29" s="290" t="s">
        <v>124</v>
      </c>
      <c r="CZ29" s="290" t="s">
        <v>124</v>
      </c>
      <c r="DA29" s="290" t="s">
        <v>124</v>
      </c>
      <c r="DB29" s="290" t="s">
        <v>124</v>
      </c>
      <c r="DC29" s="290" t="s">
        <v>124</v>
      </c>
      <c r="DD29" s="290" t="s">
        <v>124</v>
      </c>
      <c r="DE29" s="290" t="s">
        <v>124</v>
      </c>
      <c r="DF29" s="290" t="s">
        <v>124</v>
      </c>
      <c r="DG29" s="290" t="s">
        <v>124</v>
      </c>
      <c r="DH29" s="290" t="s">
        <v>124</v>
      </c>
      <c r="DI29" s="290" t="s">
        <v>124</v>
      </c>
      <c r="DJ29" s="290" t="s">
        <v>124</v>
      </c>
      <c r="DK29" s="290" t="s">
        <v>124</v>
      </c>
      <c r="DL29" s="290" t="s">
        <v>124</v>
      </c>
      <c r="DM29" s="290" t="s">
        <v>124</v>
      </c>
      <c r="DN29" s="290" t="s">
        <v>124</v>
      </c>
      <c r="DO29" s="290" t="s">
        <v>124</v>
      </c>
      <c r="DP29" s="290" t="s">
        <v>124</v>
      </c>
      <c r="DQ29" s="290" t="s">
        <v>124</v>
      </c>
      <c r="DR29" s="290" t="s">
        <v>124</v>
      </c>
      <c r="DS29" s="290" t="s">
        <v>124</v>
      </c>
      <c r="DT29" s="290" t="s">
        <v>124</v>
      </c>
      <c r="DU29" s="290" t="s">
        <v>124</v>
      </c>
      <c r="DV29" s="290" t="s">
        <v>124</v>
      </c>
      <c r="DW29" s="290" t="s">
        <v>124</v>
      </c>
      <c r="DX29" s="290" t="s">
        <v>124</v>
      </c>
      <c r="DY29" s="290" t="s">
        <v>124</v>
      </c>
      <c r="DZ29" s="290" t="s">
        <v>124</v>
      </c>
      <c r="EA29" s="290" t="s">
        <v>124</v>
      </c>
      <c r="EB29" s="290" t="s">
        <v>124</v>
      </c>
      <c r="EC29" s="290" t="s">
        <v>124</v>
      </c>
      <c r="ED29" s="290" t="s">
        <v>124</v>
      </c>
      <c r="EE29" s="290" t="s">
        <v>124</v>
      </c>
      <c r="EF29" s="290" t="s">
        <v>124</v>
      </c>
      <c r="EG29" s="290" t="s">
        <v>124</v>
      </c>
      <c r="EH29" s="290" t="s">
        <v>124</v>
      </c>
      <c r="EI29" s="290" t="s">
        <v>124</v>
      </c>
      <c r="EJ29" s="290" t="s">
        <v>124</v>
      </c>
      <c r="EK29" s="290" t="s">
        <v>124</v>
      </c>
      <c r="EL29" s="290" t="s">
        <v>124</v>
      </c>
      <c r="EM29" s="290" t="s">
        <v>124</v>
      </c>
      <c r="EN29" s="290" t="s">
        <v>124</v>
      </c>
      <c r="EO29" s="290" t="s">
        <v>124</v>
      </c>
      <c r="EP29" s="290" t="s">
        <v>124</v>
      </c>
      <c r="EQ29" s="290" t="s">
        <v>124</v>
      </c>
      <c r="ER29" s="290" t="s">
        <v>124</v>
      </c>
      <c r="ES29" s="290" t="s">
        <v>124</v>
      </c>
      <c r="ET29" s="290" t="s">
        <v>124</v>
      </c>
      <c r="EU29" s="294" t="s">
        <v>124</v>
      </c>
      <c r="EV29" s="286" t="s">
        <v>1114</v>
      </c>
      <c r="EW29" s="286" t="s">
        <v>1115</v>
      </c>
      <c r="EX29" s="286" t="s">
        <v>1116</v>
      </c>
      <c r="EY29" s="286" t="s">
        <v>1117</v>
      </c>
      <c r="EZ29" s="286" t="s">
        <v>68</v>
      </c>
      <c r="FA29" s="286" t="s">
        <v>68</v>
      </c>
      <c r="FB29" s="286" t="s">
        <v>68</v>
      </c>
      <c r="FC29" s="286" t="s">
        <v>68</v>
      </c>
      <c r="FD29" s="286" t="s">
        <v>1118</v>
      </c>
    </row>
    <row r="30" spans="2:160" s="6" customFormat="1" ht="13.5" customHeight="1" outlineLevel="5" x14ac:dyDescent="0.35">
      <c r="B30" s="295" t="s">
        <v>126</v>
      </c>
      <c r="C30" s="287" t="s">
        <v>134</v>
      </c>
      <c r="D30" s="287" t="s">
        <v>161</v>
      </c>
      <c r="E30" s="287" t="s">
        <v>164</v>
      </c>
      <c r="F30" s="287" t="s">
        <v>159</v>
      </c>
      <c r="G30" s="287" t="s">
        <v>166</v>
      </c>
      <c r="H30" s="296" t="s">
        <v>163</v>
      </c>
      <c r="I30" s="296" t="s">
        <v>161</v>
      </c>
      <c r="J30" s="288" t="s">
        <v>158</v>
      </c>
      <c r="K30" s="287" t="s">
        <v>158</v>
      </c>
      <c r="L30" s="289" t="s">
        <v>158</v>
      </c>
      <c r="M30" s="289" t="s">
        <v>158</v>
      </c>
      <c r="N30" s="289" t="s">
        <v>158</v>
      </c>
      <c r="O30" s="289" t="s">
        <v>158</v>
      </c>
      <c r="P30" s="290">
        <f t="shared" si="0"/>
        <v>0</v>
      </c>
      <c r="Q30" s="290" t="s">
        <v>67</v>
      </c>
      <c r="R30" s="290" t="s">
        <v>124</v>
      </c>
      <c r="S30" s="286" t="s">
        <v>156</v>
      </c>
      <c r="T30" s="286" t="s">
        <v>91</v>
      </c>
      <c r="U30" s="291" t="s">
        <v>36</v>
      </c>
      <c r="V30" s="292"/>
      <c r="W30" s="293"/>
      <c r="X30" s="293"/>
      <c r="Y30" s="293"/>
      <c r="Z30" s="293"/>
      <c r="AA30" s="293"/>
      <c r="AB30" s="293" t="s">
        <v>1139</v>
      </c>
      <c r="AC30" s="293"/>
      <c r="AD30" s="293"/>
      <c r="AE30" s="293"/>
      <c r="AF30" s="293"/>
      <c r="AG30" s="293"/>
      <c r="AH30" s="286" t="s">
        <v>196</v>
      </c>
      <c r="AI30" s="290" t="s">
        <v>124</v>
      </c>
      <c r="AJ30" s="290" t="s">
        <v>124</v>
      </c>
      <c r="AK30" s="290" t="s">
        <v>124</v>
      </c>
      <c r="AL30" s="290" t="s">
        <v>124</v>
      </c>
      <c r="AM30" s="290" t="s">
        <v>124</v>
      </c>
      <c r="AN30" s="290" t="s">
        <v>124</v>
      </c>
      <c r="AO30" s="290" t="s">
        <v>124</v>
      </c>
      <c r="AP30" s="290" t="s">
        <v>124</v>
      </c>
      <c r="AQ30" s="290" t="s">
        <v>124</v>
      </c>
      <c r="AR30" s="290" t="s">
        <v>124</v>
      </c>
      <c r="AS30" s="290" t="s">
        <v>124</v>
      </c>
      <c r="AT30" s="290" t="s">
        <v>124</v>
      </c>
      <c r="AU30" s="290" t="s">
        <v>124</v>
      </c>
      <c r="AV30" s="290" t="s">
        <v>124</v>
      </c>
      <c r="AW30" s="290" t="s">
        <v>124</v>
      </c>
      <c r="AX30" s="290" t="s">
        <v>124</v>
      </c>
      <c r="AY30" s="290" t="s">
        <v>124</v>
      </c>
      <c r="AZ30" s="290" t="s">
        <v>124</v>
      </c>
      <c r="BA30" s="290" t="s">
        <v>124</v>
      </c>
      <c r="BB30" s="290" t="s">
        <v>124</v>
      </c>
      <c r="BC30" s="290" t="s">
        <v>124</v>
      </c>
      <c r="BD30" s="290" t="s">
        <v>124</v>
      </c>
      <c r="BE30" s="290" t="s">
        <v>124</v>
      </c>
      <c r="BF30" s="290" t="s">
        <v>124</v>
      </c>
      <c r="BG30" s="290" t="s">
        <v>124</v>
      </c>
      <c r="BH30" s="290" t="s">
        <v>67</v>
      </c>
      <c r="BI30" s="290" t="s">
        <v>67</v>
      </c>
      <c r="BJ30" s="290" t="s">
        <v>67</v>
      </c>
      <c r="BK30" s="290" t="s">
        <v>124</v>
      </c>
      <c r="BL30" s="290" t="s">
        <v>124</v>
      </c>
      <c r="BM30" s="290" t="s">
        <v>124</v>
      </c>
      <c r="BN30" s="290" t="s">
        <v>124</v>
      </c>
      <c r="BO30" s="290" t="s">
        <v>124</v>
      </c>
      <c r="BP30" s="290" t="s">
        <v>124</v>
      </c>
      <c r="BQ30" s="290" t="s">
        <v>124</v>
      </c>
      <c r="BR30" s="290" t="s">
        <v>124</v>
      </c>
      <c r="BS30" s="290" t="s">
        <v>124</v>
      </c>
      <c r="BT30" s="290" t="s">
        <v>124</v>
      </c>
      <c r="BU30" s="290" t="s">
        <v>124</v>
      </c>
      <c r="BV30" s="290" t="s">
        <v>124</v>
      </c>
      <c r="BW30" s="290" t="s">
        <v>124</v>
      </c>
      <c r="BX30" s="290" t="s">
        <v>124</v>
      </c>
      <c r="BY30" s="290" t="s">
        <v>124</v>
      </c>
      <c r="BZ30" s="290" t="s">
        <v>124</v>
      </c>
      <c r="CA30" s="290" t="s">
        <v>124</v>
      </c>
      <c r="CB30" s="290" t="s">
        <v>124</v>
      </c>
      <c r="CC30" s="290" t="s">
        <v>124</v>
      </c>
      <c r="CD30" s="290" t="s">
        <v>124</v>
      </c>
      <c r="CE30" s="290" t="s">
        <v>124</v>
      </c>
      <c r="CF30" s="290" t="s">
        <v>124</v>
      </c>
      <c r="CG30" s="290" t="s">
        <v>124</v>
      </c>
      <c r="CH30" s="290" t="s">
        <v>124</v>
      </c>
      <c r="CI30" s="290" t="s">
        <v>124</v>
      </c>
      <c r="CJ30" s="290" t="s">
        <v>124</v>
      </c>
      <c r="CK30" s="290" t="s">
        <v>124</v>
      </c>
      <c r="CL30" s="290" t="s">
        <v>124</v>
      </c>
      <c r="CM30" s="290" t="s">
        <v>124</v>
      </c>
      <c r="CN30" s="290" t="s">
        <v>124</v>
      </c>
      <c r="CO30" s="290" t="s">
        <v>124</v>
      </c>
      <c r="CP30" s="290" t="s">
        <v>124</v>
      </c>
      <c r="CQ30" s="290" t="s">
        <v>124</v>
      </c>
      <c r="CR30" s="290" t="s">
        <v>124</v>
      </c>
      <c r="CS30" s="290" t="s">
        <v>124</v>
      </c>
      <c r="CT30" s="290" t="s">
        <v>124</v>
      </c>
      <c r="CU30" s="290" t="s">
        <v>124</v>
      </c>
      <c r="CV30" s="290" t="s">
        <v>124</v>
      </c>
      <c r="CW30" s="290" t="s">
        <v>124</v>
      </c>
      <c r="CX30" s="290" t="s">
        <v>124</v>
      </c>
      <c r="CY30" s="290" t="s">
        <v>124</v>
      </c>
      <c r="CZ30" s="290" t="s">
        <v>124</v>
      </c>
      <c r="DA30" s="290" t="s">
        <v>124</v>
      </c>
      <c r="DB30" s="290" t="s">
        <v>124</v>
      </c>
      <c r="DC30" s="290" t="s">
        <v>124</v>
      </c>
      <c r="DD30" s="290" t="s">
        <v>124</v>
      </c>
      <c r="DE30" s="290" t="s">
        <v>124</v>
      </c>
      <c r="DF30" s="290" t="s">
        <v>124</v>
      </c>
      <c r="DG30" s="290" t="s">
        <v>124</v>
      </c>
      <c r="DH30" s="290" t="s">
        <v>124</v>
      </c>
      <c r="DI30" s="290" t="s">
        <v>124</v>
      </c>
      <c r="DJ30" s="290" t="s">
        <v>124</v>
      </c>
      <c r="DK30" s="290" t="s">
        <v>124</v>
      </c>
      <c r="DL30" s="290" t="s">
        <v>124</v>
      </c>
      <c r="DM30" s="290" t="s">
        <v>124</v>
      </c>
      <c r="DN30" s="290" t="s">
        <v>124</v>
      </c>
      <c r="DO30" s="290" t="s">
        <v>124</v>
      </c>
      <c r="DP30" s="290" t="s">
        <v>124</v>
      </c>
      <c r="DQ30" s="290" t="s">
        <v>124</v>
      </c>
      <c r="DR30" s="290" t="s">
        <v>124</v>
      </c>
      <c r="DS30" s="290" t="s">
        <v>124</v>
      </c>
      <c r="DT30" s="290" t="s">
        <v>124</v>
      </c>
      <c r="DU30" s="290" t="s">
        <v>124</v>
      </c>
      <c r="DV30" s="290" t="s">
        <v>124</v>
      </c>
      <c r="DW30" s="290" t="s">
        <v>124</v>
      </c>
      <c r="DX30" s="290" t="s">
        <v>124</v>
      </c>
      <c r="DY30" s="290" t="s">
        <v>124</v>
      </c>
      <c r="DZ30" s="290" t="s">
        <v>124</v>
      </c>
      <c r="EA30" s="290" t="s">
        <v>124</v>
      </c>
      <c r="EB30" s="290" t="s">
        <v>124</v>
      </c>
      <c r="EC30" s="290" t="s">
        <v>124</v>
      </c>
      <c r="ED30" s="290" t="s">
        <v>124</v>
      </c>
      <c r="EE30" s="290" t="s">
        <v>124</v>
      </c>
      <c r="EF30" s="290" t="s">
        <v>124</v>
      </c>
      <c r="EG30" s="290" t="s">
        <v>124</v>
      </c>
      <c r="EH30" s="290" t="s">
        <v>124</v>
      </c>
      <c r="EI30" s="290" t="s">
        <v>124</v>
      </c>
      <c r="EJ30" s="290" t="s">
        <v>124</v>
      </c>
      <c r="EK30" s="290" t="s">
        <v>124</v>
      </c>
      <c r="EL30" s="290" t="s">
        <v>124</v>
      </c>
      <c r="EM30" s="290" t="s">
        <v>124</v>
      </c>
      <c r="EN30" s="290" t="s">
        <v>124</v>
      </c>
      <c r="EO30" s="290" t="s">
        <v>124</v>
      </c>
      <c r="EP30" s="290" t="s">
        <v>124</v>
      </c>
      <c r="EQ30" s="290" t="s">
        <v>124</v>
      </c>
      <c r="ER30" s="290" t="s">
        <v>124</v>
      </c>
      <c r="ES30" s="290" t="s">
        <v>124</v>
      </c>
      <c r="ET30" s="290" t="s">
        <v>124</v>
      </c>
      <c r="EU30" s="294" t="s">
        <v>124</v>
      </c>
      <c r="EV30" s="286" t="s">
        <v>1114</v>
      </c>
      <c r="EW30" s="286" t="s">
        <v>1115</v>
      </c>
      <c r="EX30" s="286" t="s">
        <v>1116</v>
      </c>
      <c r="EY30" s="286" t="s">
        <v>1117</v>
      </c>
      <c r="EZ30" s="286" t="s">
        <v>68</v>
      </c>
      <c r="FA30" s="286" t="s">
        <v>68</v>
      </c>
      <c r="FB30" s="286" t="s">
        <v>68</v>
      </c>
      <c r="FC30" s="286" t="s">
        <v>68</v>
      </c>
      <c r="FD30" s="286" t="s">
        <v>1118</v>
      </c>
    </row>
    <row r="31" spans="2:160" s="6" customFormat="1" ht="13.5" customHeight="1" outlineLevel="5" x14ac:dyDescent="0.35">
      <c r="B31" s="295" t="s">
        <v>126</v>
      </c>
      <c r="C31" s="287" t="s">
        <v>134</v>
      </c>
      <c r="D31" s="287" t="s">
        <v>161</v>
      </c>
      <c r="E31" s="287" t="s">
        <v>164</v>
      </c>
      <c r="F31" s="287" t="s">
        <v>159</v>
      </c>
      <c r="G31" s="287" t="s">
        <v>166</v>
      </c>
      <c r="H31" s="296" t="s">
        <v>163</v>
      </c>
      <c r="I31" s="296" t="s">
        <v>162</v>
      </c>
      <c r="J31" s="288" t="s">
        <v>158</v>
      </c>
      <c r="K31" s="287" t="s">
        <v>158</v>
      </c>
      <c r="L31" s="289" t="s">
        <v>158</v>
      </c>
      <c r="M31" s="289" t="s">
        <v>158</v>
      </c>
      <c r="N31" s="289" t="s">
        <v>158</v>
      </c>
      <c r="O31" s="289" t="s">
        <v>158</v>
      </c>
      <c r="P31" s="290">
        <f t="shared" si="0"/>
        <v>0</v>
      </c>
      <c r="Q31" s="290" t="s">
        <v>67</v>
      </c>
      <c r="R31" s="290" t="s">
        <v>124</v>
      </c>
      <c r="S31" s="286" t="s">
        <v>156</v>
      </c>
      <c r="T31" s="286" t="s">
        <v>91</v>
      </c>
      <c r="U31" s="291" t="s">
        <v>36</v>
      </c>
      <c r="V31" s="292"/>
      <c r="W31" s="293"/>
      <c r="X31" s="293"/>
      <c r="Y31" s="293"/>
      <c r="Z31" s="293"/>
      <c r="AA31" s="293"/>
      <c r="AB31" s="293" t="s">
        <v>1140</v>
      </c>
      <c r="AC31" s="293"/>
      <c r="AD31" s="293"/>
      <c r="AE31" s="293"/>
      <c r="AF31" s="293"/>
      <c r="AG31" s="293"/>
      <c r="AH31" s="286" t="s">
        <v>197</v>
      </c>
      <c r="AI31" s="290" t="s">
        <v>124</v>
      </c>
      <c r="AJ31" s="290" t="s">
        <v>124</v>
      </c>
      <c r="AK31" s="290" t="s">
        <v>124</v>
      </c>
      <c r="AL31" s="290" t="s">
        <v>124</v>
      </c>
      <c r="AM31" s="290" t="s">
        <v>124</v>
      </c>
      <c r="AN31" s="290" t="s">
        <v>124</v>
      </c>
      <c r="AO31" s="290" t="s">
        <v>124</v>
      </c>
      <c r="AP31" s="290" t="s">
        <v>124</v>
      </c>
      <c r="AQ31" s="290" t="s">
        <v>124</v>
      </c>
      <c r="AR31" s="290" t="s">
        <v>124</v>
      </c>
      <c r="AS31" s="290" t="s">
        <v>124</v>
      </c>
      <c r="AT31" s="290" t="s">
        <v>124</v>
      </c>
      <c r="AU31" s="290" t="s">
        <v>124</v>
      </c>
      <c r="AV31" s="290" t="s">
        <v>124</v>
      </c>
      <c r="AW31" s="290" t="s">
        <v>124</v>
      </c>
      <c r="AX31" s="290" t="s">
        <v>124</v>
      </c>
      <c r="AY31" s="290" t="s">
        <v>124</v>
      </c>
      <c r="AZ31" s="290" t="s">
        <v>124</v>
      </c>
      <c r="BA31" s="290" t="s">
        <v>124</v>
      </c>
      <c r="BB31" s="290" t="s">
        <v>124</v>
      </c>
      <c r="BC31" s="290" t="s">
        <v>124</v>
      </c>
      <c r="BD31" s="290" t="s">
        <v>124</v>
      </c>
      <c r="BE31" s="290" t="s">
        <v>124</v>
      </c>
      <c r="BF31" s="290" t="s">
        <v>124</v>
      </c>
      <c r="BG31" s="290" t="s">
        <v>124</v>
      </c>
      <c r="BH31" s="290" t="s">
        <v>67</v>
      </c>
      <c r="BI31" s="290" t="s">
        <v>67</v>
      </c>
      <c r="BJ31" s="290" t="s">
        <v>67</v>
      </c>
      <c r="BK31" s="290" t="s">
        <v>124</v>
      </c>
      <c r="BL31" s="290" t="s">
        <v>124</v>
      </c>
      <c r="BM31" s="290" t="s">
        <v>124</v>
      </c>
      <c r="BN31" s="290" t="s">
        <v>124</v>
      </c>
      <c r="BO31" s="290" t="s">
        <v>124</v>
      </c>
      <c r="BP31" s="290" t="s">
        <v>124</v>
      </c>
      <c r="BQ31" s="290" t="s">
        <v>124</v>
      </c>
      <c r="BR31" s="290" t="s">
        <v>124</v>
      </c>
      <c r="BS31" s="290" t="s">
        <v>124</v>
      </c>
      <c r="BT31" s="290" t="s">
        <v>124</v>
      </c>
      <c r="BU31" s="290" t="s">
        <v>124</v>
      </c>
      <c r="BV31" s="290" t="s">
        <v>124</v>
      </c>
      <c r="BW31" s="290" t="s">
        <v>124</v>
      </c>
      <c r="BX31" s="290" t="s">
        <v>124</v>
      </c>
      <c r="BY31" s="290" t="s">
        <v>124</v>
      </c>
      <c r="BZ31" s="290" t="s">
        <v>124</v>
      </c>
      <c r="CA31" s="290" t="s">
        <v>124</v>
      </c>
      <c r="CB31" s="290" t="s">
        <v>124</v>
      </c>
      <c r="CC31" s="290" t="s">
        <v>124</v>
      </c>
      <c r="CD31" s="290" t="s">
        <v>124</v>
      </c>
      <c r="CE31" s="290" t="s">
        <v>124</v>
      </c>
      <c r="CF31" s="290" t="s">
        <v>124</v>
      </c>
      <c r="CG31" s="290" t="s">
        <v>124</v>
      </c>
      <c r="CH31" s="290" t="s">
        <v>124</v>
      </c>
      <c r="CI31" s="290" t="s">
        <v>124</v>
      </c>
      <c r="CJ31" s="290" t="s">
        <v>124</v>
      </c>
      <c r="CK31" s="290" t="s">
        <v>124</v>
      </c>
      <c r="CL31" s="290" t="s">
        <v>124</v>
      </c>
      <c r="CM31" s="290" t="s">
        <v>124</v>
      </c>
      <c r="CN31" s="290" t="s">
        <v>124</v>
      </c>
      <c r="CO31" s="290" t="s">
        <v>124</v>
      </c>
      <c r="CP31" s="290" t="s">
        <v>124</v>
      </c>
      <c r="CQ31" s="290" t="s">
        <v>124</v>
      </c>
      <c r="CR31" s="290" t="s">
        <v>124</v>
      </c>
      <c r="CS31" s="290" t="s">
        <v>124</v>
      </c>
      <c r="CT31" s="290" t="s">
        <v>124</v>
      </c>
      <c r="CU31" s="290" t="s">
        <v>124</v>
      </c>
      <c r="CV31" s="290" t="s">
        <v>124</v>
      </c>
      <c r="CW31" s="290" t="s">
        <v>124</v>
      </c>
      <c r="CX31" s="290" t="s">
        <v>124</v>
      </c>
      <c r="CY31" s="290" t="s">
        <v>124</v>
      </c>
      <c r="CZ31" s="290" t="s">
        <v>124</v>
      </c>
      <c r="DA31" s="290" t="s">
        <v>124</v>
      </c>
      <c r="DB31" s="290" t="s">
        <v>124</v>
      </c>
      <c r="DC31" s="290" t="s">
        <v>124</v>
      </c>
      <c r="DD31" s="290" t="s">
        <v>124</v>
      </c>
      <c r="DE31" s="290" t="s">
        <v>124</v>
      </c>
      <c r="DF31" s="290" t="s">
        <v>124</v>
      </c>
      <c r="DG31" s="290" t="s">
        <v>124</v>
      </c>
      <c r="DH31" s="290" t="s">
        <v>124</v>
      </c>
      <c r="DI31" s="290" t="s">
        <v>124</v>
      </c>
      <c r="DJ31" s="290" t="s">
        <v>124</v>
      </c>
      <c r="DK31" s="290" t="s">
        <v>124</v>
      </c>
      <c r="DL31" s="290" t="s">
        <v>124</v>
      </c>
      <c r="DM31" s="290" t="s">
        <v>124</v>
      </c>
      <c r="DN31" s="290" t="s">
        <v>124</v>
      </c>
      <c r="DO31" s="290" t="s">
        <v>124</v>
      </c>
      <c r="DP31" s="290" t="s">
        <v>124</v>
      </c>
      <c r="DQ31" s="290" t="s">
        <v>124</v>
      </c>
      <c r="DR31" s="290" t="s">
        <v>124</v>
      </c>
      <c r="DS31" s="290" t="s">
        <v>124</v>
      </c>
      <c r="DT31" s="290" t="s">
        <v>124</v>
      </c>
      <c r="DU31" s="290" t="s">
        <v>124</v>
      </c>
      <c r="DV31" s="290" t="s">
        <v>124</v>
      </c>
      <c r="DW31" s="290" t="s">
        <v>124</v>
      </c>
      <c r="DX31" s="290" t="s">
        <v>124</v>
      </c>
      <c r="DY31" s="290" t="s">
        <v>124</v>
      </c>
      <c r="DZ31" s="290" t="s">
        <v>124</v>
      </c>
      <c r="EA31" s="290" t="s">
        <v>124</v>
      </c>
      <c r="EB31" s="290" t="s">
        <v>124</v>
      </c>
      <c r="EC31" s="290" t="s">
        <v>124</v>
      </c>
      <c r="ED31" s="290" t="s">
        <v>124</v>
      </c>
      <c r="EE31" s="290" t="s">
        <v>124</v>
      </c>
      <c r="EF31" s="290" t="s">
        <v>124</v>
      </c>
      <c r="EG31" s="290" t="s">
        <v>124</v>
      </c>
      <c r="EH31" s="290" t="s">
        <v>124</v>
      </c>
      <c r="EI31" s="290" t="s">
        <v>124</v>
      </c>
      <c r="EJ31" s="290" t="s">
        <v>124</v>
      </c>
      <c r="EK31" s="290" t="s">
        <v>124</v>
      </c>
      <c r="EL31" s="290" t="s">
        <v>124</v>
      </c>
      <c r="EM31" s="290" t="s">
        <v>124</v>
      </c>
      <c r="EN31" s="290" t="s">
        <v>124</v>
      </c>
      <c r="EO31" s="290" t="s">
        <v>124</v>
      </c>
      <c r="EP31" s="290" t="s">
        <v>124</v>
      </c>
      <c r="EQ31" s="290" t="s">
        <v>124</v>
      </c>
      <c r="ER31" s="290" t="s">
        <v>124</v>
      </c>
      <c r="ES31" s="290" t="s">
        <v>124</v>
      </c>
      <c r="ET31" s="290" t="s">
        <v>124</v>
      </c>
      <c r="EU31" s="294" t="s">
        <v>124</v>
      </c>
      <c r="EV31" s="286" t="s">
        <v>1114</v>
      </c>
      <c r="EW31" s="286" t="s">
        <v>1115</v>
      </c>
      <c r="EX31" s="286" t="s">
        <v>1116</v>
      </c>
      <c r="EY31" s="286" t="s">
        <v>1117</v>
      </c>
      <c r="EZ31" s="286" t="s">
        <v>68</v>
      </c>
      <c r="FA31" s="286" t="s">
        <v>68</v>
      </c>
      <c r="FB31" s="286" t="s">
        <v>68</v>
      </c>
      <c r="FC31" s="286" t="s">
        <v>68</v>
      </c>
      <c r="FD31" s="286" t="s">
        <v>1118</v>
      </c>
    </row>
    <row r="32" spans="2:160" s="6" customFormat="1" ht="13.5" customHeight="1" outlineLevel="5" x14ac:dyDescent="0.35">
      <c r="B32" s="295" t="s">
        <v>126</v>
      </c>
      <c r="C32" s="287" t="s">
        <v>134</v>
      </c>
      <c r="D32" s="287" t="s">
        <v>161</v>
      </c>
      <c r="E32" s="287" t="s">
        <v>164</v>
      </c>
      <c r="F32" s="287" t="s">
        <v>159</v>
      </c>
      <c r="G32" s="287" t="s">
        <v>166</v>
      </c>
      <c r="H32" s="296" t="s">
        <v>163</v>
      </c>
      <c r="I32" s="296" t="s">
        <v>163</v>
      </c>
      <c r="J32" s="288" t="s">
        <v>158</v>
      </c>
      <c r="K32" s="287" t="s">
        <v>158</v>
      </c>
      <c r="L32" s="289" t="s">
        <v>158</v>
      </c>
      <c r="M32" s="289" t="s">
        <v>158</v>
      </c>
      <c r="N32" s="289" t="s">
        <v>158</v>
      </c>
      <c r="O32" s="289" t="s">
        <v>158</v>
      </c>
      <c r="P32" s="290">
        <f>LEN(A32)</f>
        <v>0</v>
      </c>
      <c r="Q32" s="290" t="s">
        <v>67</v>
      </c>
      <c r="R32" s="290" t="s">
        <v>124</v>
      </c>
      <c r="S32" s="286" t="s">
        <v>156</v>
      </c>
      <c r="T32" s="286" t="s">
        <v>91</v>
      </c>
      <c r="U32" s="291" t="s">
        <v>142</v>
      </c>
      <c r="V32" s="292"/>
      <c r="W32" s="293"/>
      <c r="X32" s="293"/>
      <c r="Y32" s="293"/>
      <c r="Z32" s="293"/>
      <c r="AA32" s="293"/>
      <c r="AB32" s="293" t="s">
        <v>1141</v>
      </c>
      <c r="AC32" s="293"/>
      <c r="AD32" s="293"/>
      <c r="AE32" s="293"/>
      <c r="AF32" s="293"/>
      <c r="AG32" s="293"/>
      <c r="AH32" s="286" t="s">
        <v>198</v>
      </c>
      <c r="AI32" s="290" t="s">
        <v>124</v>
      </c>
      <c r="AJ32" s="290" t="s">
        <v>124</v>
      </c>
      <c r="AK32" s="290" t="s">
        <v>124</v>
      </c>
      <c r="AL32" s="290" t="s">
        <v>124</v>
      </c>
      <c r="AM32" s="290" t="s">
        <v>124</v>
      </c>
      <c r="AN32" s="290" t="s">
        <v>124</v>
      </c>
      <c r="AO32" s="290" t="s">
        <v>124</v>
      </c>
      <c r="AP32" s="290" t="s">
        <v>124</v>
      </c>
      <c r="AQ32" s="290" t="s">
        <v>124</v>
      </c>
      <c r="AR32" s="290" t="s">
        <v>124</v>
      </c>
      <c r="AS32" s="290" t="s">
        <v>124</v>
      </c>
      <c r="AT32" s="290" t="s">
        <v>124</v>
      </c>
      <c r="AU32" s="290" t="s">
        <v>124</v>
      </c>
      <c r="AV32" s="290" t="s">
        <v>124</v>
      </c>
      <c r="AW32" s="290" t="s">
        <v>124</v>
      </c>
      <c r="AX32" s="290" t="s">
        <v>124</v>
      </c>
      <c r="AY32" s="290" t="s">
        <v>124</v>
      </c>
      <c r="AZ32" s="290" t="s">
        <v>124</v>
      </c>
      <c r="BA32" s="290" t="s">
        <v>124</v>
      </c>
      <c r="BB32" s="290" t="s">
        <v>124</v>
      </c>
      <c r="BC32" s="290" t="s">
        <v>124</v>
      </c>
      <c r="BD32" s="290" t="s">
        <v>124</v>
      </c>
      <c r="BE32" s="290" t="s">
        <v>124</v>
      </c>
      <c r="BF32" s="290" t="s">
        <v>124</v>
      </c>
      <c r="BG32" s="290" t="s">
        <v>124</v>
      </c>
      <c r="BH32" s="290" t="s">
        <v>67</v>
      </c>
      <c r="BI32" s="290" t="s">
        <v>67</v>
      </c>
      <c r="BJ32" s="290" t="s">
        <v>67</v>
      </c>
      <c r="BK32" s="290" t="s">
        <v>124</v>
      </c>
      <c r="BL32" s="290" t="s">
        <v>124</v>
      </c>
      <c r="BM32" s="290" t="s">
        <v>124</v>
      </c>
      <c r="BN32" s="290" t="s">
        <v>124</v>
      </c>
      <c r="BO32" s="290" t="s">
        <v>124</v>
      </c>
      <c r="BP32" s="290" t="s">
        <v>124</v>
      </c>
      <c r="BQ32" s="290" t="s">
        <v>124</v>
      </c>
      <c r="BR32" s="290" t="s">
        <v>124</v>
      </c>
      <c r="BS32" s="290" t="s">
        <v>124</v>
      </c>
      <c r="BT32" s="290" t="s">
        <v>124</v>
      </c>
      <c r="BU32" s="290" t="s">
        <v>124</v>
      </c>
      <c r="BV32" s="290" t="s">
        <v>124</v>
      </c>
      <c r="BW32" s="290" t="s">
        <v>124</v>
      </c>
      <c r="BX32" s="290" t="s">
        <v>124</v>
      </c>
      <c r="BY32" s="290" t="s">
        <v>124</v>
      </c>
      <c r="BZ32" s="290" t="s">
        <v>124</v>
      </c>
      <c r="CA32" s="290" t="s">
        <v>124</v>
      </c>
      <c r="CB32" s="290" t="s">
        <v>124</v>
      </c>
      <c r="CC32" s="290" t="s">
        <v>124</v>
      </c>
      <c r="CD32" s="290" t="s">
        <v>124</v>
      </c>
      <c r="CE32" s="290" t="s">
        <v>124</v>
      </c>
      <c r="CF32" s="290" t="s">
        <v>124</v>
      </c>
      <c r="CG32" s="290" t="s">
        <v>124</v>
      </c>
      <c r="CH32" s="290" t="s">
        <v>124</v>
      </c>
      <c r="CI32" s="290" t="s">
        <v>124</v>
      </c>
      <c r="CJ32" s="290" t="s">
        <v>124</v>
      </c>
      <c r="CK32" s="290" t="s">
        <v>124</v>
      </c>
      <c r="CL32" s="290" t="s">
        <v>124</v>
      </c>
      <c r="CM32" s="290" t="s">
        <v>124</v>
      </c>
      <c r="CN32" s="290" t="s">
        <v>124</v>
      </c>
      <c r="CO32" s="290" t="s">
        <v>124</v>
      </c>
      <c r="CP32" s="290" t="s">
        <v>124</v>
      </c>
      <c r="CQ32" s="290" t="s">
        <v>124</v>
      </c>
      <c r="CR32" s="290" t="s">
        <v>124</v>
      </c>
      <c r="CS32" s="290" t="s">
        <v>124</v>
      </c>
      <c r="CT32" s="290" t="s">
        <v>124</v>
      </c>
      <c r="CU32" s="290" t="s">
        <v>124</v>
      </c>
      <c r="CV32" s="290" t="s">
        <v>124</v>
      </c>
      <c r="CW32" s="290" t="s">
        <v>124</v>
      </c>
      <c r="CX32" s="290" t="s">
        <v>124</v>
      </c>
      <c r="CY32" s="290" t="s">
        <v>124</v>
      </c>
      <c r="CZ32" s="290" t="s">
        <v>124</v>
      </c>
      <c r="DA32" s="290" t="s">
        <v>124</v>
      </c>
      <c r="DB32" s="290" t="s">
        <v>124</v>
      </c>
      <c r="DC32" s="290" t="s">
        <v>124</v>
      </c>
      <c r="DD32" s="290" t="s">
        <v>124</v>
      </c>
      <c r="DE32" s="290" t="s">
        <v>124</v>
      </c>
      <c r="DF32" s="290" t="s">
        <v>124</v>
      </c>
      <c r="DG32" s="290" t="s">
        <v>124</v>
      </c>
      <c r="DH32" s="290" t="s">
        <v>124</v>
      </c>
      <c r="DI32" s="290" t="s">
        <v>124</v>
      </c>
      <c r="DJ32" s="290" t="s">
        <v>124</v>
      </c>
      <c r="DK32" s="290" t="s">
        <v>124</v>
      </c>
      <c r="DL32" s="290" t="s">
        <v>124</v>
      </c>
      <c r="DM32" s="290" t="s">
        <v>124</v>
      </c>
      <c r="DN32" s="290" t="s">
        <v>124</v>
      </c>
      <c r="DO32" s="290" t="s">
        <v>124</v>
      </c>
      <c r="DP32" s="290" t="s">
        <v>124</v>
      </c>
      <c r="DQ32" s="290" t="s">
        <v>124</v>
      </c>
      <c r="DR32" s="290" t="s">
        <v>124</v>
      </c>
      <c r="DS32" s="290" t="s">
        <v>124</v>
      </c>
      <c r="DT32" s="290" t="s">
        <v>124</v>
      </c>
      <c r="DU32" s="290" t="s">
        <v>124</v>
      </c>
      <c r="DV32" s="290" t="s">
        <v>124</v>
      </c>
      <c r="DW32" s="290" t="s">
        <v>124</v>
      </c>
      <c r="DX32" s="290" t="s">
        <v>124</v>
      </c>
      <c r="DY32" s="290" t="s">
        <v>124</v>
      </c>
      <c r="DZ32" s="290" t="s">
        <v>124</v>
      </c>
      <c r="EA32" s="290" t="s">
        <v>124</v>
      </c>
      <c r="EB32" s="290" t="s">
        <v>124</v>
      </c>
      <c r="EC32" s="290" t="s">
        <v>124</v>
      </c>
      <c r="ED32" s="290" t="s">
        <v>124</v>
      </c>
      <c r="EE32" s="290" t="s">
        <v>124</v>
      </c>
      <c r="EF32" s="290" t="s">
        <v>124</v>
      </c>
      <c r="EG32" s="290" t="s">
        <v>124</v>
      </c>
      <c r="EH32" s="290" t="s">
        <v>124</v>
      </c>
      <c r="EI32" s="290" t="s">
        <v>124</v>
      </c>
      <c r="EJ32" s="290" t="s">
        <v>124</v>
      </c>
      <c r="EK32" s="290" t="s">
        <v>124</v>
      </c>
      <c r="EL32" s="290" t="s">
        <v>124</v>
      </c>
      <c r="EM32" s="290" t="s">
        <v>124</v>
      </c>
      <c r="EN32" s="290" t="s">
        <v>124</v>
      </c>
      <c r="EO32" s="290" t="s">
        <v>124</v>
      </c>
      <c r="EP32" s="290" t="s">
        <v>124</v>
      </c>
      <c r="EQ32" s="290" t="s">
        <v>124</v>
      </c>
      <c r="ER32" s="290" t="s">
        <v>124</v>
      </c>
      <c r="ES32" s="290" t="s">
        <v>124</v>
      </c>
      <c r="ET32" s="290" t="s">
        <v>124</v>
      </c>
      <c r="EU32" s="294" t="s">
        <v>124</v>
      </c>
      <c r="EV32" s="286" t="s">
        <v>1114</v>
      </c>
      <c r="EW32" s="286" t="s">
        <v>1115</v>
      </c>
      <c r="EX32" s="286" t="s">
        <v>1116</v>
      </c>
      <c r="EY32" s="286" t="s">
        <v>1117</v>
      </c>
      <c r="EZ32" s="286" t="s">
        <v>68</v>
      </c>
      <c r="FA32" s="286" t="s">
        <v>68</v>
      </c>
      <c r="FB32" s="286" t="s">
        <v>68</v>
      </c>
      <c r="FC32" s="286" t="s">
        <v>68</v>
      </c>
      <c r="FD32" s="286" t="s">
        <v>1118</v>
      </c>
    </row>
    <row r="33" spans="2:160" s="6" customFormat="1" ht="13.5" customHeight="1" outlineLevel="4" x14ac:dyDescent="0.35">
      <c r="B33" s="286" t="s">
        <v>68</v>
      </c>
      <c r="C33" s="287" t="s">
        <v>134</v>
      </c>
      <c r="D33" s="287" t="s">
        <v>161</v>
      </c>
      <c r="E33" s="287" t="s">
        <v>164</v>
      </c>
      <c r="F33" s="287" t="s">
        <v>159</v>
      </c>
      <c r="G33" s="287" t="s">
        <v>166</v>
      </c>
      <c r="H33" s="296" t="s">
        <v>164</v>
      </c>
      <c r="I33" s="296" t="s">
        <v>158</v>
      </c>
      <c r="J33" s="288" t="s">
        <v>158</v>
      </c>
      <c r="K33" s="287" t="s">
        <v>158</v>
      </c>
      <c r="L33" s="289" t="s">
        <v>158</v>
      </c>
      <c r="M33" s="289" t="s">
        <v>158</v>
      </c>
      <c r="N33" s="289" t="s">
        <v>158</v>
      </c>
      <c r="O33" s="289" t="s">
        <v>158</v>
      </c>
      <c r="P33" s="290">
        <f t="shared" si="0"/>
        <v>0</v>
      </c>
      <c r="Q33" s="290" t="s">
        <v>124</v>
      </c>
      <c r="R33" s="290" t="s">
        <v>124</v>
      </c>
      <c r="S33" s="290" t="s">
        <v>68</v>
      </c>
      <c r="T33" s="286" t="s">
        <v>91</v>
      </c>
      <c r="U33" s="291" t="s">
        <v>41</v>
      </c>
      <c r="V33" s="292"/>
      <c r="W33" s="293"/>
      <c r="X33" s="293"/>
      <c r="Y33" s="293"/>
      <c r="Z33" s="293"/>
      <c r="AA33" s="293" t="s">
        <v>1142</v>
      </c>
      <c r="AB33" s="293"/>
      <c r="AC33" s="293"/>
      <c r="AD33" s="293"/>
      <c r="AE33" s="293"/>
      <c r="AF33" s="293"/>
      <c r="AG33" s="293"/>
      <c r="AH33" s="286" t="s">
        <v>199</v>
      </c>
      <c r="AI33" s="290" t="s">
        <v>68</v>
      </c>
      <c r="AJ33" s="290" t="s">
        <v>68</v>
      </c>
      <c r="AK33" s="290" t="s">
        <v>68</v>
      </c>
      <c r="AL33" s="290" t="s">
        <v>68</v>
      </c>
      <c r="AM33" s="290" t="s">
        <v>68</v>
      </c>
      <c r="AN33" s="290" t="s">
        <v>68</v>
      </c>
      <c r="AO33" s="290" t="s">
        <v>68</v>
      </c>
      <c r="AP33" s="290" t="s">
        <v>68</v>
      </c>
      <c r="AQ33" s="290" t="s">
        <v>68</v>
      </c>
      <c r="AR33" s="290" t="s">
        <v>68</v>
      </c>
      <c r="AS33" s="290" t="s">
        <v>68</v>
      </c>
      <c r="AT33" s="290" t="s">
        <v>68</v>
      </c>
      <c r="AU33" s="290" t="s">
        <v>68</v>
      </c>
      <c r="AV33" s="290" t="s">
        <v>68</v>
      </c>
      <c r="AW33" s="290" t="s">
        <v>68</v>
      </c>
      <c r="AX33" s="290" t="s">
        <v>68</v>
      </c>
      <c r="AY33" s="290" t="s">
        <v>68</v>
      </c>
      <c r="AZ33" s="290" t="s">
        <v>68</v>
      </c>
      <c r="BA33" s="290" t="s">
        <v>68</v>
      </c>
      <c r="BB33" s="290" t="s">
        <v>68</v>
      </c>
      <c r="BC33" s="290" t="s">
        <v>68</v>
      </c>
      <c r="BD33" s="290" t="s">
        <v>68</v>
      </c>
      <c r="BE33" s="290" t="s">
        <v>68</v>
      </c>
      <c r="BF33" s="290" t="s">
        <v>68</v>
      </c>
      <c r="BG33" s="290" t="s">
        <v>68</v>
      </c>
      <c r="BH33" s="290" t="s">
        <v>68</v>
      </c>
      <c r="BI33" s="290" t="s">
        <v>68</v>
      </c>
      <c r="BJ33" s="290" t="s">
        <v>68</v>
      </c>
      <c r="BK33" s="290" t="s">
        <v>68</v>
      </c>
      <c r="BL33" s="290" t="s">
        <v>68</v>
      </c>
      <c r="BM33" s="290" t="s">
        <v>68</v>
      </c>
      <c r="BN33" s="290" t="s">
        <v>68</v>
      </c>
      <c r="BO33" s="290" t="s">
        <v>68</v>
      </c>
      <c r="BP33" s="290" t="s">
        <v>68</v>
      </c>
      <c r="BQ33" s="290" t="s">
        <v>68</v>
      </c>
      <c r="BR33" s="290" t="s">
        <v>68</v>
      </c>
      <c r="BS33" s="290" t="s">
        <v>68</v>
      </c>
      <c r="BT33" s="290" t="s">
        <v>68</v>
      </c>
      <c r="BU33" s="290" t="s">
        <v>68</v>
      </c>
      <c r="BV33" s="290" t="s">
        <v>68</v>
      </c>
      <c r="BW33" s="290" t="s">
        <v>68</v>
      </c>
      <c r="BX33" s="290" t="s">
        <v>68</v>
      </c>
      <c r="BY33" s="290" t="s">
        <v>68</v>
      </c>
      <c r="BZ33" s="290" t="s">
        <v>68</v>
      </c>
      <c r="CA33" s="290" t="s">
        <v>68</v>
      </c>
      <c r="CB33" s="290" t="s">
        <v>68</v>
      </c>
      <c r="CC33" s="290" t="s">
        <v>68</v>
      </c>
      <c r="CD33" s="290" t="s">
        <v>68</v>
      </c>
      <c r="CE33" s="290" t="s">
        <v>68</v>
      </c>
      <c r="CF33" s="290" t="s">
        <v>68</v>
      </c>
      <c r="CG33" s="290" t="s">
        <v>68</v>
      </c>
      <c r="CH33" s="290" t="s">
        <v>68</v>
      </c>
      <c r="CI33" s="290" t="s">
        <v>68</v>
      </c>
      <c r="CJ33" s="290" t="s">
        <v>68</v>
      </c>
      <c r="CK33" s="290" t="s">
        <v>68</v>
      </c>
      <c r="CL33" s="290" t="s">
        <v>68</v>
      </c>
      <c r="CM33" s="290" t="s">
        <v>68</v>
      </c>
      <c r="CN33" s="290" t="s">
        <v>68</v>
      </c>
      <c r="CO33" s="290" t="s">
        <v>68</v>
      </c>
      <c r="CP33" s="290" t="s">
        <v>68</v>
      </c>
      <c r="CQ33" s="290" t="s">
        <v>68</v>
      </c>
      <c r="CR33" s="290" t="s">
        <v>68</v>
      </c>
      <c r="CS33" s="290" t="s">
        <v>68</v>
      </c>
      <c r="CT33" s="290" t="s">
        <v>68</v>
      </c>
      <c r="CU33" s="290" t="s">
        <v>68</v>
      </c>
      <c r="CV33" s="290" t="s">
        <v>68</v>
      </c>
      <c r="CW33" s="290" t="s">
        <v>68</v>
      </c>
      <c r="CX33" s="290" t="s">
        <v>68</v>
      </c>
      <c r="CY33" s="290" t="s">
        <v>68</v>
      </c>
      <c r="CZ33" s="290" t="s">
        <v>68</v>
      </c>
      <c r="DA33" s="290" t="s">
        <v>68</v>
      </c>
      <c r="DB33" s="290" t="s">
        <v>68</v>
      </c>
      <c r="DC33" s="290" t="s">
        <v>68</v>
      </c>
      <c r="DD33" s="290" t="s">
        <v>68</v>
      </c>
      <c r="DE33" s="290" t="s">
        <v>68</v>
      </c>
      <c r="DF33" s="290" t="s">
        <v>68</v>
      </c>
      <c r="DG33" s="290" t="s">
        <v>68</v>
      </c>
      <c r="DH33" s="290" t="s">
        <v>68</v>
      </c>
      <c r="DI33" s="290" t="s">
        <v>68</v>
      </c>
      <c r="DJ33" s="290" t="s">
        <v>68</v>
      </c>
      <c r="DK33" s="290" t="s">
        <v>68</v>
      </c>
      <c r="DL33" s="290" t="s">
        <v>68</v>
      </c>
      <c r="DM33" s="290" t="s">
        <v>68</v>
      </c>
      <c r="DN33" s="290" t="s">
        <v>68</v>
      </c>
      <c r="DO33" s="290" t="s">
        <v>68</v>
      </c>
      <c r="DP33" s="290" t="s">
        <v>68</v>
      </c>
      <c r="DQ33" s="290" t="s">
        <v>68</v>
      </c>
      <c r="DR33" s="290" t="s">
        <v>68</v>
      </c>
      <c r="DS33" s="290" t="s">
        <v>68</v>
      </c>
      <c r="DT33" s="290" t="s">
        <v>68</v>
      </c>
      <c r="DU33" s="290" t="s">
        <v>68</v>
      </c>
      <c r="DV33" s="290" t="s">
        <v>68</v>
      </c>
      <c r="DW33" s="290" t="s">
        <v>68</v>
      </c>
      <c r="DX33" s="290" t="s">
        <v>68</v>
      </c>
      <c r="DY33" s="290" t="s">
        <v>68</v>
      </c>
      <c r="DZ33" s="290" t="s">
        <v>68</v>
      </c>
      <c r="EA33" s="290" t="s">
        <v>68</v>
      </c>
      <c r="EB33" s="290" t="s">
        <v>68</v>
      </c>
      <c r="EC33" s="290" t="s">
        <v>68</v>
      </c>
      <c r="ED33" s="290" t="s">
        <v>68</v>
      </c>
      <c r="EE33" s="290" t="s">
        <v>68</v>
      </c>
      <c r="EF33" s="290" t="s">
        <v>68</v>
      </c>
      <c r="EG33" s="290" t="s">
        <v>68</v>
      </c>
      <c r="EH33" s="290" t="s">
        <v>68</v>
      </c>
      <c r="EI33" s="290" t="s">
        <v>68</v>
      </c>
      <c r="EJ33" s="290" t="s">
        <v>68</v>
      </c>
      <c r="EK33" s="290" t="s">
        <v>68</v>
      </c>
      <c r="EL33" s="290" t="s">
        <v>68</v>
      </c>
      <c r="EM33" s="290" t="s">
        <v>68</v>
      </c>
      <c r="EN33" s="290" t="s">
        <v>68</v>
      </c>
      <c r="EO33" s="290" t="s">
        <v>68</v>
      </c>
      <c r="EP33" s="290" t="s">
        <v>68</v>
      </c>
      <c r="EQ33" s="290" t="s">
        <v>68</v>
      </c>
      <c r="ER33" s="290" t="s">
        <v>68</v>
      </c>
      <c r="ES33" s="290" t="s">
        <v>68</v>
      </c>
      <c r="ET33" s="290" t="s">
        <v>68</v>
      </c>
      <c r="EU33" s="294" t="s">
        <v>68</v>
      </c>
      <c r="EV33" s="286" t="s">
        <v>68</v>
      </c>
      <c r="EW33" s="286" t="s">
        <v>68</v>
      </c>
      <c r="EX33" s="286" t="s">
        <v>68</v>
      </c>
      <c r="EY33" s="286" t="s">
        <v>68</v>
      </c>
      <c r="EZ33" s="286" t="s">
        <v>68</v>
      </c>
      <c r="FA33" s="286" t="s">
        <v>68</v>
      </c>
      <c r="FB33" s="286" t="s">
        <v>68</v>
      </c>
      <c r="FC33" s="286" t="s">
        <v>68</v>
      </c>
      <c r="FD33" s="286" t="s">
        <v>68</v>
      </c>
    </row>
    <row r="34" spans="2:160" s="6" customFormat="1" ht="13.5" customHeight="1" outlineLevel="5" x14ac:dyDescent="0.35">
      <c r="B34" s="295" t="s">
        <v>126</v>
      </c>
      <c r="C34" s="287" t="s">
        <v>134</v>
      </c>
      <c r="D34" s="287" t="s">
        <v>161</v>
      </c>
      <c r="E34" s="287" t="s">
        <v>164</v>
      </c>
      <c r="F34" s="287" t="s">
        <v>159</v>
      </c>
      <c r="G34" s="287" t="s">
        <v>166</v>
      </c>
      <c r="H34" s="296" t="s">
        <v>164</v>
      </c>
      <c r="I34" s="296" t="s">
        <v>159</v>
      </c>
      <c r="J34" s="288" t="s">
        <v>158</v>
      </c>
      <c r="K34" s="287" t="s">
        <v>158</v>
      </c>
      <c r="L34" s="289" t="s">
        <v>158</v>
      </c>
      <c r="M34" s="289" t="s">
        <v>158</v>
      </c>
      <c r="N34" s="289" t="s">
        <v>158</v>
      </c>
      <c r="O34" s="289" t="s">
        <v>158</v>
      </c>
      <c r="P34" s="290">
        <f t="shared" si="0"/>
        <v>0</v>
      </c>
      <c r="Q34" s="290" t="s">
        <v>67</v>
      </c>
      <c r="R34" s="290" t="s">
        <v>124</v>
      </c>
      <c r="S34" s="286" t="s">
        <v>156</v>
      </c>
      <c r="T34" s="286" t="s">
        <v>91</v>
      </c>
      <c r="U34" s="291" t="s">
        <v>43</v>
      </c>
      <c r="V34" s="292"/>
      <c r="W34" s="293"/>
      <c r="X34" s="293"/>
      <c r="Y34" s="293"/>
      <c r="Z34" s="293"/>
      <c r="AA34" s="293"/>
      <c r="AB34" s="293" t="s">
        <v>1143</v>
      </c>
      <c r="AC34" s="293"/>
      <c r="AD34" s="293"/>
      <c r="AE34" s="293"/>
      <c r="AF34" s="293"/>
      <c r="AG34" s="293"/>
      <c r="AH34" s="286" t="s">
        <v>200</v>
      </c>
      <c r="AI34" s="290" t="s">
        <v>124</v>
      </c>
      <c r="AJ34" s="290" t="s">
        <v>124</v>
      </c>
      <c r="AK34" s="290" t="s">
        <v>124</v>
      </c>
      <c r="AL34" s="290" t="s">
        <v>124</v>
      </c>
      <c r="AM34" s="290" t="s">
        <v>124</v>
      </c>
      <c r="AN34" s="290" t="s">
        <v>124</v>
      </c>
      <c r="AO34" s="290" t="s">
        <v>124</v>
      </c>
      <c r="AP34" s="290" t="s">
        <v>124</v>
      </c>
      <c r="AQ34" s="290" t="s">
        <v>124</v>
      </c>
      <c r="AR34" s="290" t="s">
        <v>124</v>
      </c>
      <c r="AS34" s="290" t="s">
        <v>124</v>
      </c>
      <c r="AT34" s="290" t="s">
        <v>124</v>
      </c>
      <c r="AU34" s="290" t="s">
        <v>124</v>
      </c>
      <c r="AV34" s="290" t="s">
        <v>124</v>
      </c>
      <c r="AW34" s="290" t="s">
        <v>124</v>
      </c>
      <c r="AX34" s="290" t="s">
        <v>124</v>
      </c>
      <c r="AY34" s="290" t="s">
        <v>124</v>
      </c>
      <c r="AZ34" s="290" t="s">
        <v>124</v>
      </c>
      <c r="BA34" s="290" t="s">
        <v>124</v>
      </c>
      <c r="BB34" s="290" t="s">
        <v>124</v>
      </c>
      <c r="BC34" s="290" t="s">
        <v>124</v>
      </c>
      <c r="BD34" s="290" t="s">
        <v>124</v>
      </c>
      <c r="BE34" s="290" t="s">
        <v>124</v>
      </c>
      <c r="BF34" s="290" t="s">
        <v>124</v>
      </c>
      <c r="BG34" s="290" t="s">
        <v>124</v>
      </c>
      <c r="BH34" s="290" t="s">
        <v>67</v>
      </c>
      <c r="BI34" s="290" t="s">
        <v>67</v>
      </c>
      <c r="BJ34" s="290" t="s">
        <v>67</v>
      </c>
      <c r="BK34" s="290" t="s">
        <v>124</v>
      </c>
      <c r="BL34" s="290" t="s">
        <v>124</v>
      </c>
      <c r="BM34" s="290" t="s">
        <v>124</v>
      </c>
      <c r="BN34" s="290" t="s">
        <v>124</v>
      </c>
      <c r="BO34" s="290" t="s">
        <v>124</v>
      </c>
      <c r="BP34" s="290" t="s">
        <v>124</v>
      </c>
      <c r="BQ34" s="290" t="s">
        <v>124</v>
      </c>
      <c r="BR34" s="290" t="s">
        <v>124</v>
      </c>
      <c r="BS34" s="290" t="s">
        <v>124</v>
      </c>
      <c r="BT34" s="290" t="s">
        <v>124</v>
      </c>
      <c r="BU34" s="290" t="s">
        <v>124</v>
      </c>
      <c r="BV34" s="290" t="s">
        <v>124</v>
      </c>
      <c r="BW34" s="290" t="s">
        <v>124</v>
      </c>
      <c r="BX34" s="290" t="s">
        <v>124</v>
      </c>
      <c r="BY34" s="290" t="s">
        <v>124</v>
      </c>
      <c r="BZ34" s="290" t="s">
        <v>124</v>
      </c>
      <c r="CA34" s="290" t="s">
        <v>124</v>
      </c>
      <c r="CB34" s="290" t="s">
        <v>124</v>
      </c>
      <c r="CC34" s="290" t="s">
        <v>124</v>
      </c>
      <c r="CD34" s="290" t="s">
        <v>124</v>
      </c>
      <c r="CE34" s="290" t="s">
        <v>124</v>
      </c>
      <c r="CF34" s="290" t="s">
        <v>124</v>
      </c>
      <c r="CG34" s="290" t="s">
        <v>124</v>
      </c>
      <c r="CH34" s="290" t="s">
        <v>124</v>
      </c>
      <c r="CI34" s="290" t="s">
        <v>124</v>
      </c>
      <c r="CJ34" s="290" t="s">
        <v>124</v>
      </c>
      <c r="CK34" s="290" t="s">
        <v>124</v>
      </c>
      <c r="CL34" s="290" t="s">
        <v>124</v>
      </c>
      <c r="CM34" s="290" t="s">
        <v>124</v>
      </c>
      <c r="CN34" s="290" t="s">
        <v>124</v>
      </c>
      <c r="CO34" s="290" t="s">
        <v>124</v>
      </c>
      <c r="CP34" s="290" t="s">
        <v>124</v>
      </c>
      <c r="CQ34" s="290" t="s">
        <v>124</v>
      </c>
      <c r="CR34" s="290" t="s">
        <v>124</v>
      </c>
      <c r="CS34" s="290" t="s">
        <v>124</v>
      </c>
      <c r="CT34" s="290" t="s">
        <v>124</v>
      </c>
      <c r="CU34" s="290" t="s">
        <v>124</v>
      </c>
      <c r="CV34" s="290" t="s">
        <v>124</v>
      </c>
      <c r="CW34" s="290" t="s">
        <v>124</v>
      </c>
      <c r="CX34" s="290" t="s">
        <v>124</v>
      </c>
      <c r="CY34" s="290" t="s">
        <v>124</v>
      </c>
      <c r="CZ34" s="290" t="s">
        <v>124</v>
      </c>
      <c r="DA34" s="290" t="s">
        <v>124</v>
      </c>
      <c r="DB34" s="290" t="s">
        <v>124</v>
      </c>
      <c r="DC34" s="290" t="s">
        <v>124</v>
      </c>
      <c r="DD34" s="290" t="s">
        <v>124</v>
      </c>
      <c r="DE34" s="290" t="s">
        <v>124</v>
      </c>
      <c r="DF34" s="290" t="s">
        <v>124</v>
      </c>
      <c r="DG34" s="290" t="s">
        <v>124</v>
      </c>
      <c r="DH34" s="290" t="s">
        <v>124</v>
      </c>
      <c r="DI34" s="290" t="s">
        <v>124</v>
      </c>
      <c r="DJ34" s="290" t="s">
        <v>124</v>
      </c>
      <c r="DK34" s="290" t="s">
        <v>124</v>
      </c>
      <c r="DL34" s="290" t="s">
        <v>124</v>
      </c>
      <c r="DM34" s="290" t="s">
        <v>124</v>
      </c>
      <c r="DN34" s="290" t="s">
        <v>124</v>
      </c>
      <c r="DO34" s="290" t="s">
        <v>124</v>
      </c>
      <c r="DP34" s="290" t="s">
        <v>124</v>
      </c>
      <c r="DQ34" s="290" t="s">
        <v>124</v>
      </c>
      <c r="DR34" s="290" t="s">
        <v>124</v>
      </c>
      <c r="DS34" s="290" t="s">
        <v>124</v>
      </c>
      <c r="DT34" s="290" t="s">
        <v>124</v>
      </c>
      <c r="DU34" s="290" t="s">
        <v>124</v>
      </c>
      <c r="DV34" s="290" t="s">
        <v>124</v>
      </c>
      <c r="DW34" s="290" t="s">
        <v>124</v>
      </c>
      <c r="DX34" s="290" t="s">
        <v>124</v>
      </c>
      <c r="DY34" s="290" t="s">
        <v>124</v>
      </c>
      <c r="DZ34" s="290" t="s">
        <v>124</v>
      </c>
      <c r="EA34" s="290" t="s">
        <v>124</v>
      </c>
      <c r="EB34" s="290" t="s">
        <v>124</v>
      </c>
      <c r="EC34" s="290" t="s">
        <v>124</v>
      </c>
      <c r="ED34" s="290" t="s">
        <v>124</v>
      </c>
      <c r="EE34" s="290" t="s">
        <v>124</v>
      </c>
      <c r="EF34" s="290" t="s">
        <v>124</v>
      </c>
      <c r="EG34" s="290" t="s">
        <v>124</v>
      </c>
      <c r="EH34" s="290" t="s">
        <v>124</v>
      </c>
      <c r="EI34" s="290" t="s">
        <v>124</v>
      </c>
      <c r="EJ34" s="290" t="s">
        <v>124</v>
      </c>
      <c r="EK34" s="290" t="s">
        <v>124</v>
      </c>
      <c r="EL34" s="290" t="s">
        <v>124</v>
      </c>
      <c r="EM34" s="290" t="s">
        <v>124</v>
      </c>
      <c r="EN34" s="290" t="s">
        <v>124</v>
      </c>
      <c r="EO34" s="290" t="s">
        <v>124</v>
      </c>
      <c r="EP34" s="290" t="s">
        <v>124</v>
      </c>
      <c r="EQ34" s="290" t="s">
        <v>124</v>
      </c>
      <c r="ER34" s="290" t="s">
        <v>124</v>
      </c>
      <c r="ES34" s="290" t="s">
        <v>124</v>
      </c>
      <c r="ET34" s="290" t="s">
        <v>124</v>
      </c>
      <c r="EU34" s="294" t="s">
        <v>124</v>
      </c>
      <c r="EV34" s="286" t="s">
        <v>1114</v>
      </c>
      <c r="EW34" s="286" t="s">
        <v>1115</v>
      </c>
      <c r="EX34" s="286" t="s">
        <v>1116</v>
      </c>
      <c r="EY34" s="286" t="s">
        <v>1117</v>
      </c>
      <c r="EZ34" s="286" t="s">
        <v>68</v>
      </c>
      <c r="FA34" s="286" t="s">
        <v>68</v>
      </c>
      <c r="FB34" s="286" t="s">
        <v>68</v>
      </c>
      <c r="FC34" s="286" t="s">
        <v>68</v>
      </c>
      <c r="FD34" s="286" t="s">
        <v>1118</v>
      </c>
    </row>
    <row r="35" spans="2:160" s="6" customFormat="1" ht="13.5" customHeight="1" outlineLevel="5" x14ac:dyDescent="0.35">
      <c r="B35" s="295" t="s">
        <v>126</v>
      </c>
      <c r="C35" s="287" t="s">
        <v>134</v>
      </c>
      <c r="D35" s="287" t="s">
        <v>161</v>
      </c>
      <c r="E35" s="287" t="s">
        <v>164</v>
      </c>
      <c r="F35" s="287" t="s">
        <v>159</v>
      </c>
      <c r="G35" s="287" t="s">
        <v>166</v>
      </c>
      <c r="H35" s="296" t="s">
        <v>164</v>
      </c>
      <c r="I35" s="296" t="s">
        <v>160</v>
      </c>
      <c r="J35" s="288" t="s">
        <v>158</v>
      </c>
      <c r="K35" s="287" t="s">
        <v>158</v>
      </c>
      <c r="L35" s="289" t="s">
        <v>158</v>
      </c>
      <c r="M35" s="289" t="s">
        <v>158</v>
      </c>
      <c r="N35" s="289" t="s">
        <v>158</v>
      </c>
      <c r="O35" s="289" t="s">
        <v>158</v>
      </c>
      <c r="P35" s="290">
        <f t="shared" si="0"/>
        <v>0</v>
      </c>
      <c r="Q35" s="290" t="s">
        <v>67</v>
      </c>
      <c r="R35" s="290" t="s">
        <v>124</v>
      </c>
      <c r="S35" s="286" t="s">
        <v>156</v>
      </c>
      <c r="T35" s="286" t="s">
        <v>91</v>
      </c>
      <c r="U35" s="291" t="s">
        <v>44</v>
      </c>
      <c r="V35" s="292"/>
      <c r="W35" s="293"/>
      <c r="X35" s="293"/>
      <c r="Y35" s="293"/>
      <c r="Z35" s="293"/>
      <c r="AA35" s="293"/>
      <c r="AB35" s="293" t="s">
        <v>1144</v>
      </c>
      <c r="AC35" s="293"/>
      <c r="AD35" s="293"/>
      <c r="AE35" s="293"/>
      <c r="AF35" s="293"/>
      <c r="AG35" s="293"/>
      <c r="AH35" s="286" t="s">
        <v>201</v>
      </c>
      <c r="AI35" s="290" t="s">
        <v>124</v>
      </c>
      <c r="AJ35" s="290" t="s">
        <v>124</v>
      </c>
      <c r="AK35" s="290" t="s">
        <v>124</v>
      </c>
      <c r="AL35" s="290" t="s">
        <v>124</v>
      </c>
      <c r="AM35" s="290" t="s">
        <v>124</v>
      </c>
      <c r="AN35" s="290" t="s">
        <v>124</v>
      </c>
      <c r="AO35" s="290" t="s">
        <v>124</v>
      </c>
      <c r="AP35" s="290" t="s">
        <v>124</v>
      </c>
      <c r="AQ35" s="290" t="s">
        <v>124</v>
      </c>
      <c r="AR35" s="290" t="s">
        <v>124</v>
      </c>
      <c r="AS35" s="290" t="s">
        <v>124</v>
      </c>
      <c r="AT35" s="290" t="s">
        <v>124</v>
      </c>
      <c r="AU35" s="290" t="s">
        <v>124</v>
      </c>
      <c r="AV35" s="290" t="s">
        <v>124</v>
      </c>
      <c r="AW35" s="290" t="s">
        <v>124</v>
      </c>
      <c r="AX35" s="290" t="s">
        <v>124</v>
      </c>
      <c r="AY35" s="290" t="s">
        <v>124</v>
      </c>
      <c r="AZ35" s="290" t="s">
        <v>124</v>
      </c>
      <c r="BA35" s="290" t="s">
        <v>124</v>
      </c>
      <c r="BB35" s="290" t="s">
        <v>124</v>
      </c>
      <c r="BC35" s="290" t="s">
        <v>124</v>
      </c>
      <c r="BD35" s="290" t="s">
        <v>124</v>
      </c>
      <c r="BE35" s="290" t="s">
        <v>124</v>
      </c>
      <c r="BF35" s="290" t="s">
        <v>124</v>
      </c>
      <c r="BG35" s="290" t="s">
        <v>124</v>
      </c>
      <c r="BH35" s="290" t="s">
        <v>67</v>
      </c>
      <c r="BI35" s="290" t="s">
        <v>67</v>
      </c>
      <c r="BJ35" s="290" t="s">
        <v>67</v>
      </c>
      <c r="BK35" s="290" t="s">
        <v>124</v>
      </c>
      <c r="BL35" s="290" t="s">
        <v>124</v>
      </c>
      <c r="BM35" s="290" t="s">
        <v>124</v>
      </c>
      <c r="BN35" s="290" t="s">
        <v>124</v>
      </c>
      <c r="BO35" s="290" t="s">
        <v>124</v>
      </c>
      <c r="BP35" s="290" t="s">
        <v>124</v>
      </c>
      <c r="BQ35" s="290" t="s">
        <v>124</v>
      </c>
      <c r="BR35" s="290" t="s">
        <v>124</v>
      </c>
      <c r="BS35" s="290" t="s">
        <v>124</v>
      </c>
      <c r="BT35" s="290" t="s">
        <v>124</v>
      </c>
      <c r="BU35" s="290" t="s">
        <v>124</v>
      </c>
      <c r="BV35" s="290" t="s">
        <v>124</v>
      </c>
      <c r="BW35" s="290" t="s">
        <v>124</v>
      </c>
      <c r="BX35" s="290" t="s">
        <v>124</v>
      </c>
      <c r="BY35" s="290" t="s">
        <v>124</v>
      </c>
      <c r="BZ35" s="290" t="s">
        <v>124</v>
      </c>
      <c r="CA35" s="290" t="s">
        <v>124</v>
      </c>
      <c r="CB35" s="290" t="s">
        <v>124</v>
      </c>
      <c r="CC35" s="290" t="s">
        <v>124</v>
      </c>
      <c r="CD35" s="290" t="s">
        <v>124</v>
      </c>
      <c r="CE35" s="290" t="s">
        <v>124</v>
      </c>
      <c r="CF35" s="290" t="s">
        <v>124</v>
      </c>
      <c r="CG35" s="290" t="s">
        <v>124</v>
      </c>
      <c r="CH35" s="290" t="s">
        <v>124</v>
      </c>
      <c r="CI35" s="290" t="s">
        <v>124</v>
      </c>
      <c r="CJ35" s="290" t="s">
        <v>124</v>
      </c>
      <c r="CK35" s="290" t="s">
        <v>124</v>
      </c>
      <c r="CL35" s="290" t="s">
        <v>124</v>
      </c>
      <c r="CM35" s="290" t="s">
        <v>124</v>
      </c>
      <c r="CN35" s="290" t="s">
        <v>124</v>
      </c>
      <c r="CO35" s="290" t="s">
        <v>124</v>
      </c>
      <c r="CP35" s="290" t="s">
        <v>124</v>
      </c>
      <c r="CQ35" s="290" t="s">
        <v>124</v>
      </c>
      <c r="CR35" s="290" t="s">
        <v>124</v>
      </c>
      <c r="CS35" s="290" t="s">
        <v>124</v>
      </c>
      <c r="CT35" s="290" t="s">
        <v>124</v>
      </c>
      <c r="CU35" s="290" t="s">
        <v>124</v>
      </c>
      <c r="CV35" s="290" t="s">
        <v>124</v>
      </c>
      <c r="CW35" s="290" t="s">
        <v>124</v>
      </c>
      <c r="CX35" s="290" t="s">
        <v>124</v>
      </c>
      <c r="CY35" s="290" t="s">
        <v>124</v>
      </c>
      <c r="CZ35" s="290" t="s">
        <v>124</v>
      </c>
      <c r="DA35" s="290" t="s">
        <v>124</v>
      </c>
      <c r="DB35" s="290" t="s">
        <v>124</v>
      </c>
      <c r="DC35" s="290" t="s">
        <v>124</v>
      </c>
      <c r="DD35" s="290" t="s">
        <v>124</v>
      </c>
      <c r="DE35" s="290" t="s">
        <v>124</v>
      </c>
      <c r="DF35" s="290" t="s">
        <v>124</v>
      </c>
      <c r="DG35" s="290" t="s">
        <v>124</v>
      </c>
      <c r="DH35" s="290" t="s">
        <v>124</v>
      </c>
      <c r="DI35" s="290" t="s">
        <v>124</v>
      </c>
      <c r="DJ35" s="290" t="s">
        <v>124</v>
      </c>
      <c r="DK35" s="290" t="s">
        <v>124</v>
      </c>
      <c r="DL35" s="290" t="s">
        <v>124</v>
      </c>
      <c r="DM35" s="290" t="s">
        <v>124</v>
      </c>
      <c r="DN35" s="290" t="s">
        <v>124</v>
      </c>
      <c r="DO35" s="290" t="s">
        <v>124</v>
      </c>
      <c r="DP35" s="290" t="s">
        <v>124</v>
      </c>
      <c r="DQ35" s="290" t="s">
        <v>124</v>
      </c>
      <c r="DR35" s="290" t="s">
        <v>124</v>
      </c>
      <c r="DS35" s="290" t="s">
        <v>124</v>
      </c>
      <c r="DT35" s="290" t="s">
        <v>124</v>
      </c>
      <c r="DU35" s="290" t="s">
        <v>124</v>
      </c>
      <c r="DV35" s="290" t="s">
        <v>124</v>
      </c>
      <c r="DW35" s="290" t="s">
        <v>124</v>
      </c>
      <c r="DX35" s="290" t="s">
        <v>124</v>
      </c>
      <c r="DY35" s="290" t="s">
        <v>124</v>
      </c>
      <c r="DZ35" s="290" t="s">
        <v>124</v>
      </c>
      <c r="EA35" s="290" t="s">
        <v>124</v>
      </c>
      <c r="EB35" s="290" t="s">
        <v>124</v>
      </c>
      <c r="EC35" s="290" t="s">
        <v>124</v>
      </c>
      <c r="ED35" s="290" t="s">
        <v>124</v>
      </c>
      <c r="EE35" s="290" t="s">
        <v>124</v>
      </c>
      <c r="EF35" s="290" t="s">
        <v>124</v>
      </c>
      <c r="EG35" s="290" t="s">
        <v>124</v>
      </c>
      <c r="EH35" s="290" t="s">
        <v>124</v>
      </c>
      <c r="EI35" s="290" t="s">
        <v>124</v>
      </c>
      <c r="EJ35" s="290" t="s">
        <v>124</v>
      </c>
      <c r="EK35" s="290" t="s">
        <v>124</v>
      </c>
      <c r="EL35" s="290" t="s">
        <v>124</v>
      </c>
      <c r="EM35" s="290" t="s">
        <v>124</v>
      </c>
      <c r="EN35" s="290" t="s">
        <v>124</v>
      </c>
      <c r="EO35" s="290" t="s">
        <v>124</v>
      </c>
      <c r="EP35" s="290" t="s">
        <v>124</v>
      </c>
      <c r="EQ35" s="290" t="s">
        <v>124</v>
      </c>
      <c r="ER35" s="290" t="s">
        <v>124</v>
      </c>
      <c r="ES35" s="290" t="s">
        <v>124</v>
      </c>
      <c r="ET35" s="290" t="s">
        <v>124</v>
      </c>
      <c r="EU35" s="294" t="s">
        <v>124</v>
      </c>
      <c r="EV35" s="286" t="s">
        <v>1114</v>
      </c>
      <c r="EW35" s="286" t="s">
        <v>1115</v>
      </c>
      <c r="EX35" s="286" t="s">
        <v>1116</v>
      </c>
      <c r="EY35" s="286" t="s">
        <v>1117</v>
      </c>
      <c r="EZ35" s="286" t="s">
        <v>68</v>
      </c>
      <c r="FA35" s="286" t="s">
        <v>68</v>
      </c>
      <c r="FB35" s="286" t="s">
        <v>68</v>
      </c>
      <c r="FC35" s="286" t="s">
        <v>68</v>
      </c>
      <c r="FD35" s="286" t="s">
        <v>1118</v>
      </c>
    </row>
    <row r="36" spans="2:160" s="6" customFormat="1" ht="13.5" customHeight="1" outlineLevel="5" x14ac:dyDescent="0.35">
      <c r="B36" s="295" t="s">
        <v>126</v>
      </c>
      <c r="C36" s="287" t="s">
        <v>134</v>
      </c>
      <c r="D36" s="287" t="s">
        <v>161</v>
      </c>
      <c r="E36" s="287" t="s">
        <v>164</v>
      </c>
      <c r="F36" s="287" t="s">
        <v>159</v>
      </c>
      <c r="G36" s="287" t="s">
        <v>166</v>
      </c>
      <c r="H36" s="296" t="s">
        <v>164</v>
      </c>
      <c r="I36" s="296" t="s">
        <v>161</v>
      </c>
      <c r="J36" s="288" t="s">
        <v>158</v>
      </c>
      <c r="K36" s="287" t="s">
        <v>158</v>
      </c>
      <c r="L36" s="289" t="s">
        <v>158</v>
      </c>
      <c r="M36" s="289" t="s">
        <v>158</v>
      </c>
      <c r="N36" s="289" t="s">
        <v>158</v>
      </c>
      <c r="O36" s="289" t="s">
        <v>158</v>
      </c>
      <c r="P36" s="290">
        <f t="shared" si="0"/>
        <v>0</v>
      </c>
      <c r="Q36" s="290" t="s">
        <v>67</v>
      </c>
      <c r="R36" s="290" t="s">
        <v>124</v>
      </c>
      <c r="S36" s="286" t="s">
        <v>156</v>
      </c>
      <c r="T36" s="286" t="s">
        <v>91</v>
      </c>
      <c r="U36" s="291" t="s">
        <v>46</v>
      </c>
      <c r="V36" s="292"/>
      <c r="W36" s="293"/>
      <c r="X36" s="293"/>
      <c r="Y36" s="293"/>
      <c r="Z36" s="293"/>
      <c r="AA36" s="293"/>
      <c r="AB36" s="293" t="s">
        <v>1145</v>
      </c>
      <c r="AC36" s="293"/>
      <c r="AD36" s="293"/>
      <c r="AE36" s="293"/>
      <c r="AF36" s="293"/>
      <c r="AG36" s="293"/>
      <c r="AH36" s="286" t="s">
        <v>202</v>
      </c>
      <c r="AI36" s="290" t="s">
        <v>124</v>
      </c>
      <c r="AJ36" s="290" t="s">
        <v>124</v>
      </c>
      <c r="AK36" s="290" t="s">
        <v>124</v>
      </c>
      <c r="AL36" s="290" t="s">
        <v>124</v>
      </c>
      <c r="AM36" s="290" t="s">
        <v>124</v>
      </c>
      <c r="AN36" s="290" t="s">
        <v>124</v>
      </c>
      <c r="AO36" s="290" t="s">
        <v>124</v>
      </c>
      <c r="AP36" s="290" t="s">
        <v>124</v>
      </c>
      <c r="AQ36" s="290" t="s">
        <v>124</v>
      </c>
      <c r="AR36" s="290" t="s">
        <v>124</v>
      </c>
      <c r="AS36" s="290" t="s">
        <v>124</v>
      </c>
      <c r="AT36" s="290" t="s">
        <v>124</v>
      </c>
      <c r="AU36" s="290" t="s">
        <v>124</v>
      </c>
      <c r="AV36" s="290" t="s">
        <v>124</v>
      </c>
      <c r="AW36" s="290" t="s">
        <v>124</v>
      </c>
      <c r="AX36" s="290" t="s">
        <v>124</v>
      </c>
      <c r="AY36" s="290" t="s">
        <v>124</v>
      </c>
      <c r="AZ36" s="290" t="s">
        <v>124</v>
      </c>
      <c r="BA36" s="290" t="s">
        <v>124</v>
      </c>
      <c r="BB36" s="290" t="s">
        <v>124</v>
      </c>
      <c r="BC36" s="290" t="s">
        <v>124</v>
      </c>
      <c r="BD36" s="290" t="s">
        <v>124</v>
      </c>
      <c r="BE36" s="290" t="s">
        <v>124</v>
      </c>
      <c r="BF36" s="290" t="s">
        <v>124</v>
      </c>
      <c r="BG36" s="290" t="s">
        <v>124</v>
      </c>
      <c r="BH36" s="290" t="s">
        <v>67</v>
      </c>
      <c r="BI36" s="290" t="s">
        <v>67</v>
      </c>
      <c r="BJ36" s="290" t="s">
        <v>67</v>
      </c>
      <c r="BK36" s="290" t="s">
        <v>124</v>
      </c>
      <c r="BL36" s="290" t="s">
        <v>124</v>
      </c>
      <c r="BM36" s="290" t="s">
        <v>124</v>
      </c>
      <c r="BN36" s="290" t="s">
        <v>124</v>
      </c>
      <c r="BO36" s="290" t="s">
        <v>124</v>
      </c>
      <c r="BP36" s="290" t="s">
        <v>124</v>
      </c>
      <c r="BQ36" s="290" t="s">
        <v>124</v>
      </c>
      <c r="BR36" s="290" t="s">
        <v>124</v>
      </c>
      <c r="BS36" s="290" t="s">
        <v>124</v>
      </c>
      <c r="BT36" s="290" t="s">
        <v>124</v>
      </c>
      <c r="BU36" s="290" t="s">
        <v>124</v>
      </c>
      <c r="BV36" s="290" t="s">
        <v>124</v>
      </c>
      <c r="BW36" s="290" t="s">
        <v>124</v>
      </c>
      <c r="BX36" s="290" t="s">
        <v>124</v>
      </c>
      <c r="BY36" s="290" t="s">
        <v>124</v>
      </c>
      <c r="BZ36" s="290" t="s">
        <v>124</v>
      </c>
      <c r="CA36" s="290" t="s">
        <v>124</v>
      </c>
      <c r="CB36" s="290" t="s">
        <v>124</v>
      </c>
      <c r="CC36" s="290" t="s">
        <v>124</v>
      </c>
      <c r="CD36" s="290" t="s">
        <v>124</v>
      </c>
      <c r="CE36" s="290" t="s">
        <v>124</v>
      </c>
      <c r="CF36" s="290" t="s">
        <v>124</v>
      </c>
      <c r="CG36" s="290" t="s">
        <v>124</v>
      </c>
      <c r="CH36" s="290" t="s">
        <v>124</v>
      </c>
      <c r="CI36" s="290" t="s">
        <v>124</v>
      </c>
      <c r="CJ36" s="290" t="s">
        <v>124</v>
      </c>
      <c r="CK36" s="290" t="s">
        <v>124</v>
      </c>
      <c r="CL36" s="290" t="s">
        <v>124</v>
      </c>
      <c r="CM36" s="290" t="s">
        <v>124</v>
      </c>
      <c r="CN36" s="290" t="s">
        <v>124</v>
      </c>
      <c r="CO36" s="290" t="s">
        <v>124</v>
      </c>
      <c r="CP36" s="290" t="s">
        <v>124</v>
      </c>
      <c r="CQ36" s="290" t="s">
        <v>124</v>
      </c>
      <c r="CR36" s="290" t="s">
        <v>124</v>
      </c>
      <c r="CS36" s="290" t="s">
        <v>124</v>
      </c>
      <c r="CT36" s="290" t="s">
        <v>124</v>
      </c>
      <c r="CU36" s="290" t="s">
        <v>124</v>
      </c>
      <c r="CV36" s="290" t="s">
        <v>124</v>
      </c>
      <c r="CW36" s="290" t="s">
        <v>124</v>
      </c>
      <c r="CX36" s="290" t="s">
        <v>124</v>
      </c>
      <c r="CY36" s="290" t="s">
        <v>124</v>
      </c>
      <c r="CZ36" s="290" t="s">
        <v>124</v>
      </c>
      <c r="DA36" s="290" t="s">
        <v>124</v>
      </c>
      <c r="DB36" s="290" t="s">
        <v>124</v>
      </c>
      <c r="DC36" s="290" t="s">
        <v>124</v>
      </c>
      <c r="DD36" s="290" t="s">
        <v>124</v>
      </c>
      <c r="DE36" s="290" t="s">
        <v>124</v>
      </c>
      <c r="DF36" s="290" t="s">
        <v>124</v>
      </c>
      <c r="DG36" s="290" t="s">
        <v>124</v>
      </c>
      <c r="DH36" s="290" t="s">
        <v>124</v>
      </c>
      <c r="DI36" s="290" t="s">
        <v>124</v>
      </c>
      <c r="DJ36" s="290" t="s">
        <v>124</v>
      </c>
      <c r="DK36" s="290" t="s">
        <v>124</v>
      </c>
      <c r="DL36" s="290" t="s">
        <v>124</v>
      </c>
      <c r="DM36" s="290" t="s">
        <v>124</v>
      </c>
      <c r="DN36" s="290" t="s">
        <v>124</v>
      </c>
      <c r="DO36" s="290" t="s">
        <v>124</v>
      </c>
      <c r="DP36" s="290" t="s">
        <v>124</v>
      </c>
      <c r="DQ36" s="290" t="s">
        <v>124</v>
      </c>
      <c r="DR36" s="290" t="s">
        <v>124</v>
      </c>
      <c r="DS36" s="290" t="s">
        <v>124</v>
      </c>
      <c r="DT36" s="290" t="s">
        <v>124</v>
      </c>
      <c r="DU36" s="290" t="s">
        <v>124</v>
      </c>
      <c r="DV36" s="290" t="s">
        <v>124</v>
      </c>
      <c r="DW36" s="290" t="s">
        <v>124</v>
      </c>
      <c r="DX36" s="290" t="s">
        <v>124</v>
      </c>
      <c r="DY36" s="290" t="s">
        <v>124</v>
      </c>
      <c r="DZ36" s="290" t="s">
        <v>124</v>
      </c>
      <c r="EA36" s="290" t="s">
        <v>124</v>
      </c>
      <c r="EB36" s="290" t="s">
        <v>124</v>
      </c>
      <c r="EC36" s="290" t="s">
        <v>124</v>
      </c>
      <c r="ED36" s="290" t="s">
        <v>124</v>
      </c>
      <c r="EE36" s="290" t="s">
        <v>124</v>
      </c>
      <c r="EF36" s="290" t="s">
        <v>124</v>
      </c>
      <c r="EG36" s="290" t="s">
        <v>124</v>
      </c>
      <c r="EH36" s="290" t="s">
        <v>124</v>
      </c>
      <c r="EI36" s="290" t="s">
        <v>124</v>
      </c>
      <c r="EJ36" s="290" t="s">
        <v>124</v>
      </c>
      <c r="EK36" s="290" t="s">
        <v>124</v>
      </c>
      <c r="EL36" s="290" t="s">
        <v>124</v>
      </c>
      <c r="EM36" s="290" t="s">
        <v>124</v>
      </c>
      <c r="EN36" s="290" t="s">
        <v>124</v>
      </c>
      <c r="EO36" s="290" t="s">
        <v>124</v>
      </c>
      <c r="EP36" s="290" t="s">
        <v>124</v>
      </c>
      <c r="EQ36" s="290" t="s">
        <v>124</v>
      </c>
      <c r="ER36" s="290" t="s">
        <v>124</v>
      </c>
      <c r="ES36" s="290" t="s">
        <v>124</v>
      </c>
      <c r="ET36" s="290" t="s">
        <v>124</v>
      </c>
      <c r="EU36" s="294" t="s">
        <v>124</v>
      </c>
      <c r="EV36" s="286" t="s">
        <v>1114</v>
      </c>
      <c r="EW36" s="286" t="s">
        <v>1115</v>
      </c>
      <c r="EX36" s="286" t="s">
        <v>1116</v>
      </c>
      <c r="EY36" s="286" t="s">
        <v>1117</v>
      </c>
      <c r="EZ36" s="286" t="s">
        <v>68</v>
      </c>
      <c r="FA36" s="286" t="s">
        <v>68</v>
      </c>
      <c r="FB36" s="286" t="s">
        <v>68</v>
      </c>
      <c r="FC36" s="286" t="s">
        <v>68</v>
      </c>
      <c r="FD36" s="286" t="s">
        <v>1118</v>
      </c>
    </row>
    <row r="37" spans="2:160" s="6" customFormat="1" ht="13.5" customHeight="1" outlineLevel="5" x14ac:dyDescent="0.35">
      <c r="B37" s="295" t="s">
        <v>126</v>
      </c>
      <c r="C37" s="287" t="s">
        <v>134</v>
      </c>
      <c r="D37" s="287" t="s">
        <v>161</v>
      </c>
      <c r="E37" s="287" t="s">
        <v>164</v>
      </c>
      <c r="F37" s="287" t="s">
        <v>159</v>
      </c>
      <c r="G37" s="287" t="s">
        <v>166</v>
      </c>
      <c r="H37" s="296" t="s">
        <v>164</v>
      </c>
      <c r="I37" s="296" t="s">
        <v>162</v>
      </c>
      <c r="J37" s="288" t="s">
        <v>158</v>
      </c>
      <c r="K37" s="287" t="s">
        <v>158</v>
      </c>
      <c r="L37" s="289" t="s">
        <v>158</v>
      </c>
      <c r="M37" s="289" t="s">
        <v>158</v>
      </c>
      <c r="N37" s="289" t="s">
        <v>158</v>
      </c>
      <c r="O37" s="289" t="s">
        <v>158</v>
      </c>
      <c r="P37" s="290">
        <f t="shared" si="0"/>
        <v>0</v>
      </c>
      <c r="Q37" s="290" t="s">
        <v>67</v>
      </c>
      <c r="R37" s="290" t="s">
        <v>124</v>
      </c>
      <c r="S37" s="286" t="s">
        <v>156</v>
      </c>
      <c r="T37" s="286" t="s">
        <v>91</v>
      </c>
      <c r="U37" s="291" t="s">
        <v>48</v>
      </c>
      <c r="V37" s="292"/>
      <c r="W37" s="293"/>
      <c r="X37" s="293"/>
      <c r="Y37" s="293"/>
      <c r="Z37" s="293"/>
      <c r="AA37" s="293"/>
      <c r="AB37" s="293" t="s">
        <v>1146</v>
      </c>
      <c r="AC37" s="293"/>
      <c r="AD37" s="293"/>
      <c r="AE37" s="293"/>
      <c r="AF37" s="293"/>
      <c r="AG37" s="293"/>
      <c r="AH37" s="286" t="s">
        <v>203</v>
      </c>
      <c r="AI37" s="290" t="s">
        <v>124</v>
      </c>
      <c r="AJ37" s="290" t="s">
        <v>124</v>
      </c>
      <c r="AK37" s="290" t="s">
        <v>124</v>
      </c>
      <c r="AL37" s="290" t="s">
        <v>124</v>
      </c>
      <c r="AM37" s="290" t="s">
        <v>124</v>
      </c>
      <c r="AN37" s="290" t="s">
        <v>124</v>
      </c>
      <c r="AO37" s="290" t="s">
        <v>124</v>
      </c>
      <c r="AP37" s="290" t="s">
        <v>124</v>
      </c>
      <c r="AQ37" s="290" t="s">
        <v>124</v>
      </c>
      <c r="AR37" s="290" t="s">
        <v>124</v>
      </c>
      <c r="AS37" s="290" t="s">
        <v>124</v>
      </c>
      <c r="AT37" s="290" t="s">
        <v>124</v>
      </c>
      <c r="AU37" s="290" t="s">
        <v>124</v>
      </c>
      <c r="AV37" s="290" t="s">
        <v>124</v>
      </c>
      <c r="AW37" s="290" t="s">
        <v>124</v>
      </c>
      <c r="AX37" s="290" t="s">
        <v>124</v>
      </c>
      <c r="AY37" s="290" t="s">
        <v>124</v>
      </c>
      <c r="AZ37" s="290" t="s">
        <v>124</v>
      </c>
      <c r="BA37" s="290" t="s">
        <v>124</v>
      </c>
      <c r="BB37" s="290" t="s">
        <v>124</v>
      </c>
      <c r="BC37" s="290" t="s">
        <v>124</v>
      </c>
      <c r="BD37" s="290" t="s">
        <v>124</v>
      </c>
      <c r="BE37" s="290" t="s">
        <v>124</v>
      </c>
      <c r="BF37" s="290" t="s">
        <v>124</v>
      </c>
      <c r="BG37" s="290" t="s">
        <v>124</v>
      </c>
      <c r="BH37" s="290" t="s">
        <v>67</v>
      </c>
      <c r="BI37" s="290" t="s">
        <v>67</v>
      </c>
      <c r="BJ37" s="290" t="s">
        <v>67</v>
      </c>
      <c r="BK37" s="290" t="s">
        <v>124</v>
      </c>
      <c r="BL37" s="290" t="s">
        <v>124</v>
      </c>
      <c r="BM37" s="290" t="s">
        <v>124</v>
      </c>
      <c r="BN37" s="290" t="s">
        <v>124</v>
      </c>
      <c r="BO37" s="290" t="s">
        <v>124</v>
      </c>
      <c r="BP37" s="290" t="s">
        <v>124</v>
      </c>
      <c r="BQ37" s="290" t="s">
        <v>124</v>
      </c>
      <c r="BR37" s="290" t="s">
        <v>124</v>
      </c>
      <c r="BS37" s="290" t="s">
        <v>124</v>
      </c>
      <c r="BT37" s="290" t="s">
        <v>124</v>
      </c>
      <c r="BU37" s="290" t="s">
        <v>124</v>
      </c>
      <c r="BV37" s="290" t="s">
        <v>124</v>
      </c>
      <c r="BW37" s="290" t="s">
        <v>124</v>
      </c>
      <c r="BX37" s="290" t="s">
        <v>124</v>
      </c>
      <c r="BY37" s="290" t="s">
        <v>124</v>
      </c>
      <c r="BZ37" s="290" t="s">
        <v>124</v>
      </c>
      <c r="CA37" s="290" t="s">
        <v>124</v>
      </c>
      <c r="CB37" s="290" t="s">
        <v>124</v>
      </c>
      <c r="CC37" s="290" t="s">
        <v>124</v>
      </c>
      <c r="CD37" s="290" t="s">
        <v>124</v>
      </c>
      <c r="CE37" s="290" t="s">
        <v>124</v>
      </c>
      <c r="CF37" s="290" t="s">
        <v>124</v>
      </c>
      <c r="CG37" s="290" t="s">
        <v>124</v>
      </c>
      <c r="CH37" s="290" t="s">
        <v>124</v>
      </c>
      <c r="CI37" s="290" t="s">
        <v>124</v>
      </c>
      <c r="CJ37" s="290" t="s">
        <v>124</v>
      </c>
      <c r="CK37" s="290" t="s">
        <v>124</v>
      </c>
      <c r="CL37" s="290" t="s">
        <v>124</v>
      </c>
      <c r="CM37" s="290" t="s">
        <v>124</v>
      </c>
      <c r="CN37" s="290" t="s">
        <v>124</v>
      </c>
      <c r="CO37" s="290" t="s">
        <v>124</v>
      </c>
      <c r="CP37" s="290" t="s">
        <v>124</v>
      </c>
      <c r="CQ37" s="290" t="s">
        <v>124</v>
      </c>
      <c r="CR37" s="290" t="s">
        <v>124</v>
      </c>
      <c r="CS37" s="290" t="s">
        <v>124</v>
      </c>
      <c r="CT37" s="290" t="s">
        <v>124</v>
      </c>
      <c r="CU37" s="290" t="s">
        <v>124</v>
      </c>
      <c r="CV37" s="290" t="s">
        <v>124</v>
      </c>
      <c r="CW37" s="290" t="s">
        <v>124</v>
      </c>
      <c r="CX37" s="290" t="s">
        <v>124</v>
      </c>
      <c r="CY37" s="290" t="s">
        <v>124</v>
      </c>
      <c r="CZ37" s="290" t="s">
        <v>124</v>
      </c>
      <c r="DA37" s="290" t="s">
        <v>124</v>
      </c>
      <c r="DB37" s="290" t="s">
        <v>124</v>
      </c>
      <c r="DC37" s="290" t="s">
        <v>124</v>
      </c>
      <c r="DD37" s="290" t="s">
        <v>124</v>
      </c>
      <c r="DE37" s="290" t="s">
        <v>124</v>
      </c>
      <c r="DF37" s="290" t="s">
        <v>124</v>
      </c>
      <c r="DG37" s="290" t="s">
        <v>124</v>
      </c>
      <c r="DH37" s="290" t="s">
        <v>124</v>
      </c>
      <c r="DI37" s="290" t="s">
        <v>124</v>
      </c>
      <c r="DJ37" s="290" t="s">
        <v>124</v>
      </c>
      <c r="DK37" s="290" t="s">
        <v>124</v>
      </c>
      <c r="DL37" s="290" t="s">
        <v>124</v>
      </c>
      <c r="DM37" s="290" t="s">
        <v>124</v>
      </c>
      <c r="DN37" s="290" t="s">
        <v>124</v>
      </c>
      <c r="DO37" s="290" t="s">
        <v>124</v>
      </c>
      <c r="DP37" s="290" t="s">
        <v>124</v>
      </c>
      <c r="DQ37" s="290" t="s">
        <v>124</v>
      </c>
      <c r="DR37" s="290" t="s">
        <v>124</v>
      </c>
      <c r="DS37" s="290" t="s">
        <v>124</v>
      </c>
      <c r="DT37" s="290" t="s">
        <v>124</v>
      </c>
      <c r="DU37" s="290" t="s">
        <v>124</v>
      </c>
      <c r="DV37" s="290" t="s">
        <v>124</v>
      </c>
      <c r="DW37" s="290" t="s">
        <v>124</v>
      </c>
      <c r="DX37" s="290" t="s">
        <v>124</v>
      </c>
      <c r="DY37" s="290" t="s">
        <v>124</v>
      </c>
      <c r="DZ37" s="290" t="s">
        <v>124</v>
      </c>
      <c r="EA37" s="290" t="s">
        <v>124</v>
      </c>
      <c r="EB37" s="290" t="s">
        <v>124</v>
      </c>
      <c r="EC37" s="290" t="s">
        <v>124</v>
      </c>
      <c r="ED37" s="290" t="s">
        <v>124</v>
      </c>
      <c r="EE37" s="290" t="s">
        <v>124</v>
      </c>
      <c r="EF37" s="290" t="s">
        <v>124</v>
      </c>
      <c r="EG37" s="290" t="s">
        <v>124</v>
      </c>
      <c r="EH37" s="290" t="s">
        <v>124</v>
      </c>
      <c r="EI37" s="290" t="s">
        <v>124</v>
      </c>
      <c r="EJ37" s="290" t="s">
        <v>124</v>
      </c>
      <c r="EK37" s="290" t="s">
        <v>124</v>
      </c>
      <c r="EL37" s="290" t="s">
        <v>124</v>
      </c>
      <c r="EM37" s="290" t="s">
        <v>124</v>
      </c>
      <c r="EN37" s="290" t="s">
        <v>124</v>
      </c>
      <c r="EO37" s="290" t="s">
        <v>124</v>
      </c>
      <c r="EP37" s="290" t="s">
        <v>124</v>
      </c>
      <c r="EQ37" s="290" t="s">
        <v>124</v>
      </c>
      <c r="ER37" s="290" t="s">
        <v>124</v>
      </c>
      <c r="ES37" s="290" t="s">
        <v>124</v>
      </c>
      <c r="ET37" s="290" t="s">
        <v>124</v>
      </c>
      <c r="EU37" s="294" t="s">
        <v>124</v>
      </c>
      <c r="EV37" s="286" t="s">
        <v>1114</v>
      </c>
      <c r="EW37" s="286" t="s">
        <v>1115</v>
      </c>
      <c r="EX37" s="286" t="s">
        <v>1116</v>
      </c>
      <c r="EY37" s="286" t="s">
        <v>1117</v>
      </c>
      <c r="EZ37" s="286" t="s">
        <v>68</v>
      </c>
      <c r="FA37" s="286" t="s">
        <v>68</v>
      </c>
      <c r="FB37" s="286" t="s">
        <v>68</v>
      </c>
      <c r="FC37" s="286" t="s">
        <v>68</v>
      </c>
      <c r="FD37" s="286" t="s">
        <v>1118</v>
      </c>
    </row>
    <row r="38" spans="2:160" s="6" customFormat="1" ht="13.5" customHeight="1" outlineLevel="5" x14ac:dyDescent="0.35">
      <c r="B38" s="295" t="s">
        <v>126</v>
      </c>
      <c r="C38" s="287" t="s">
        <v>134</v>
      </c>
      <c r="D38" s="287" t="s">
        <v>161</v>
      </c>
      <c r="E38" s="287" t="s">
        <v>164</v>
      </c>
      <c r="F38" s="287" t="s">
        <v>159</v>
      </c>
      <c r="G38" s="287" t="s">
        <v>166</v>
      </c>
      <c r="H38" s="296" t="s">
        <v>164</v>
      </c>
      <c r="I38" s="296" t="s">
        <v>163</v>
      </c>
      <c r="J38" s="288" t="s">
        <v>158</v>
      </c>
      <c r="K38" s="287" t="s">
        <v>158</v>
      </c>
      <c r="L38" s="289" t="s">
        <v>158</v>
      </c>
      <c r="M38" s="289" t="s">
        <v>158</v>
      </c>
      <c r="N38" s="289" t="s">
        <v>158</v>
      </c>
      <c r="O38" s="289" t="s">
        <v>158</v>
      </c>
      <c r="P38" s="290">
        <f t="shared" si="0"/>
        <v>0</v>
      </c>
      <c r="Q38" s="290" t="s">
        <v>67</v>
      </c>
      <c r="R38" s="290" t="s">
        <v>124</v>
      </c>
      <c r="S38" s="286" t="s">
        <v>156</v>
      </c>
      <c r="T38" s="286" t="s">
        <v>91</v>
      </c>
      <c r="U38" s="291" t="s">
        <v>49</v>
      </c>
      <c r="V38" s="292"/>
      <c r="W38" s="293"/>
      <c r="X38" s="293"/>
      <c r="Y38" s="293"/>
      <c r="Z38" s="293"/>
      <c r="AA38" s="293"/>
      <c r="AB38" s="293" t="s">
        <v>1147</v>
      </c>
      <c r="AC38" s="293"/>
      <c r="AD38" s="293"/>
      <c r="AE38" s="293"/>
      <c r="AF38" s="293"/>
      <c r="AG38" s="293"/>
      <c r="AH38" s="286" t="s">
        <v>204</v>
      </c>
      <c r="AI38" s="290" t="s">
        <v>124</v>
      </c>
      <c r="AJ38" s="290" t="s">
        <v>124</v>
      </c>
      <c r="AK38" s="290" t="s">
        <v>124</v>
      </c>
      <c r="AL38" s="290" t="s">
        <v>124</v>
      </c>
      <c r="AM38" s="290" t="s">
        <v>124</v>
      </c>
      <c r="AN38" s="290" t="s">
        <v>124</v>
      </c>
      <c r="AO38" s="290" t="s">
        <v>124</v>
      </c>
      <c r="AP38" s="290" t="s">
        <v>124</v>
      </c>
      <c r="AQ38" s="290" t="s">
        <v>124</v>
      </c>
      <c r="AR38" s="290" t="s">
        <v>124</v>
      </c>
      <c r="AS38" s="290" t="s">
        <v>124</v>
      </c>
      <c r="AT38" s="290" t="s">
        <v>124</v>
      </c>
      <c r="AU38" s="290" t="s">
        <v>124</v>
      </c>
      <c r="AV38" s="290" t="s">
        <v>124</v>
      </c>
      <c r="AW38" s="290" t="s">
        <v>124</v>
      </c>
      <c r="AX38" s="290" t="s">
        <v>124</v>
      </c>
      <c r="AY38" s="290" t="s">
        <v>124</v>
      </c>
      <c r="AZ38" s="290" t="s">
        <v>124</v>
      </c>
      <c r="BA38" s="290" t="s">
        <v>124</v>
      </c>
      <c r="BB38" s="290" t="s">
        <v>124</v>
      </c>
      <c r="BC38" s="290" t="s">
        <v>124</v>
      </c>
      <c r="BD38" s="290" t="s">
        <v>124</v>
      </c>
      <c r="BE38" s="290" t="s">
        <v>124</v>
      </c>
      <c r="BF38" s="290" t="s">
        <v>124</v>
      </c>
      <c r="BG38" s="290" t="s">
        <v>124</v>
      </c>
      <c r="BH38" s="290" t="s">
        <v>67</v>
      </c>
      <c r="BI38" s="290" t="s">
        <v>67</v>
      </c>
      <c r="BJ38" s="290" t="s">
        <v>67</v>
      </c>
      <c r="BK38" s="290" t="s">
        <v>124</v>
      </c>
      <c r="BL38" s="290" t="s">
        <v>124</v>
      </c>
      <c r="BM38" s="290" t="s">
        <v>124</v>
      </c>
      <c r="BN38" s="290" t="s">
        <v>124</v>
      </c>
      <c r="BO38" s="290" t="s">
        <v>124</v>
      </c>
      <c r="BP38" s="290" t="s">
        <v>124</v>
      </c>
      <c r="BQ38" s="290" t="s">
        <v>124</v>
      </c>
      <c r="BR38" s="290" t="s">
        <v>124</v>
      </c>
      <c r="BS38" s="290" t="s">
        <v>124</v>
      </c>
      <c r="BT38" s="290" t="s">
        <v>124</v>
      </c>
      <c r="BU38" s="290" t="s">
        <v>124</v>
      </c>
      <c r="BV38" s="290" t="s">
        <v>124</v>
      </c>
      <c r="BW38" s="290" t="s">
        <v>124</v>
      </c>
      <c r="BX38" s="290" t="s">
        <v>124</v>
      </c>
      <c r="BY38" s="290" t="s">
        <v>124</v>
      </c>
      <c r="BZ38" s="290" t="s">
        <v>124</v>
      </c>
      <c r="CA38" s="290" t="s">
        <v>124</v>
      </c>
      <c r="CB38" s="290" t="s">
        <v>124</v>
      </c>
      <c r="CC38" s="290" t="s">
        <v>124</v>
      </c>
      <c r="CD38" s="290" t="s">
        <v>124</v>
      </c>
      <c r="CE38" s="290" t="s">
        <v>124</v>
      </c>
      <c r="CF38" s="290" t="s">
        <v>124</v>
      </c>
      <c r="CG38" s="290" t="s">
        <v>124</v>
      </c>
      <c r="CH38" s="290" t="s">
        <v>124</v>
      </c>
      <c r="CI38" s="290" t="s">
        <v>124</v>
      </c>
      <c r="CJ38" s="290" t="s">
        <v>124</v>
      </c>
      <c r="CK38" s="290" t="s">
        <v>124</v>
      </c>
      <c r="CL38" s="290" t="s">
        <v>124</v>
      </c>
      <c r="CM38" s="290" t="s">
        <v>124</v>
      </c>
      <c r="CN38" s="290" t="s">
        <v>124</v>
      </c>
      <c r="CO38" s="290" t="s">
        <v>124</v>
      </c>
      <c r="CP38" s="290" t="s">
        <v>124</v>
      </c>
      <c r="CQ38" s="290" t="s">
        <v>124</v>
      </c>
      <c r="CR38" s="290" t="s">
        <v>124</v>
      </c>
      <c r="CS38" s="290" t="s">
        <v>124</v>
      </c>
      <c r="CT38" s="290" t="s">
        <v>124</v>
      </c>
      <c r="CU38" s="290" t="s">
        <v>124</v>
      </c>
      <c r="CV38" s="290" t="s">
        <v>124</v>
      </c>
      <c r="CW38" s="290" t="s">
        <v>124</v>
      </c>
      <c r="CX38" s="290" t="s">
        <v>124</v>
      </c>
      <c r="CY38" s="290" t="s">
        <v>124</v>
      </c>
      <c r="CZ38" s="290" t="s">
        <v>124</v>
      </c>
      <c r="DA38" s="290" t="s">
        <v>124</v>
      </c>
      <c r="DB38" s="290" t="s">
        <v>124</v>
      </c>
      <c r="DC38" s="290" t="s">
        <v>124</v>
      </c>
      <c r="DD38" s="290" t="s">
        <v>124</v>
      </c>
      <c r="DE38" s="290" t="s">
        <v>124</v>
      </c>
      <c r="DF38" s="290" t="s">
        <v>124</v>
      </c>
      <c r="DG38" s="290" t="s">
        <v>124</v>
      </c>
      <c r="DH38" s="290" t="s">
        <v>124</v>
      </c>
      <c r="DI38" s="290" t="s">
        <v>124</v>
      </c>
      <c r="DJ38" s="290" t="s">
        <v>124</v>
      </c>
      <c r="DK38" s="290" t="s">
        <v>124</v>
      </c>
      <c r="DL38" s="290" t="s">
        <v>124</v>
      </c>
      <c r="DM38" s="290" t="s">
        <v>124</v>
      </c>
      <c r="DN38" s="290" t="s">
        <v>124</v>
      </c>
      <c r="DO38" s="290" t="s">
        <v>124</v>
      </c>
      <c r="DP38" s="290" t="s">
        <v>124</v>
      </c>
      <c r="DQ38" s="290" t="s">
        <v>124</v>
      </c>
      <c r="DR38" s="290" t="s">
        <v>124</v>
      </c>
      <c r="DS38" s="290" t="s">
        <v>124</v>
      </c>
      <c r="DT38" s="290" t="s">
        <v>124</v>
      </c>
      <c r="DU38" s="290" t="s">
        <v>124</v>
      </c>
      <c r="DV38" s="290" t="s">
        <v>124</v>
      </c>
      <c r="DW38" s="290" t="s">
        <v>124</v>
      </c>
      <c r="DX38" s="290" t="s">
        <v>124</v>
      </c>
      <c r="DY38" s="290" t="s">
        <v>124</v>
      </c>
      <c r="DZ38" s="290" t="s">
        <v>124</v>
      </c>
      <c r="EA38" s="290" t="s">
        <v>124</v>
      </c>
      <c r="EB38" s="290" t="s">
        <v>124</v>
      </c>
      <c r="EC38" s="290" t="s">
        <v>124</v>
      </c>
      <c r="ED38" s="290" t="s">
        <v>124</v>
      </c>
      <c r="EE38" s="290" t="s">
        <v>124</v>
      </c>
      <c r="EF38" s="290" t="s">
        <v>124</v>
      </c>
      <c r="EG38" s="290" t="s">
        <v>124</v>
      </c>
      <c r="EH38" s="290" t="s">
        <v>124</v>
      </c>
      <c r="EI38" s="290" t="s">
        <v>124</v>
      </c>
      <c r="EJ38" s="290" t="s">
        <v>124</v>
      </c>
      <c r="EK38" s="290" t="s">
        <v>124</v>
      </c>
      <c r="EL38" s="290" t="s">
        <v>124</v>
      </c>
      <c r="EM38" s="290" t="s">
        <v>124</v>
      </c>
      <c r="EN38" s="290" t="s">
        <v>124</v>
      </c>
      <c r="EO38" s="290" t="s">
        <v>124</v>
      </c>
      <c r="EP38" s="290" t="s">
        <v>124</v>
      </c>
      <c r="EQ38" s="290" t="s">
        <v>124</v>
      </c>
      <c r="ER38" s="290" t="s">
        <v>124</v>
      </c>
      <c r="ES38" s="290" t="s">
        <v>124</v>
      </c>
      <c r="ET38" s="290" t="s">
        <v>124</v>
      </c>
      <c r="EU38" s="294" t="s">
        <v>124</v>
      </c>
      <c r="EV38" s="286" t="s">
        <v>1114</v>
      </c>
      <c r="EW38" s="286" t="s">
        <v>1115</v>
      </c>
      <c r="EX38" s="286" t="s">
        <v>1116</v>
      </c>
      <c r="EY38" s="286" t="s">
        <v>1117</v>
      </c>
      <c r="EZ38" s="286" t="s">
        <v>68</v>
      </c>
      <c r="FA38" s="286" t="s">
        <v>68</v>
      </c>
      <c r="FB38" s="286" t="s">
        <v>68</v>
      </c>
      <c r="FC38" s="286" t="s">
        <v>68</v>
      </c>
      <c r="FD38" s="286" t="s">
        <v>1118</v>
      </c>
    </row>
    <row r="39" spans="2:160" s="6" customFormat="1" ht="13.5" customHeight="1" outlineLevel="5" x14ac:dyDescent="0.35">
      <c r="B39" s="295" t="s">
        <v>126</v>
      </c>
      <c r="C39" s="287" t="s">
        <v>134</v>
      </c>
      <c r="D39" s="287" t="s">
        <v>161</v>
      </c>
      <c r="E39" s="287" t="s">
        <v>164</v>
      </c>
      <c r="F39" s="287" t="s">
        <v>159</v>
      </c>
      <c r="G39" s="287" t="s">
        <v>166</v>
      </c>
      <c r="H39" s="296" t="s">
        <v>164</v>
      </c>
      <c r="I39" s="296" t="s">
        <v>164</v>
      </c>
      <c r="J39" s="288" t="s">
        <v>158</v>
      </c>
      <c r="K39" s="287" t="s">
        <v>158</v>
      </c>
      <c r="L39" s="289" t="s">
        <v>158</v>
      </c>
      <c r="M39" s="289" t="s">
        <v>158</v>
      </c>
      <c r="N39" s="289" t="s">
        <v>158</v>
      </c>
      <c r="O39" s="289" t="s">
        <v>158</v>
      </c>
      <c r="P39" s="290">
        <f>LEN(A39)</f>
        <v>0</v>
      </c>
      <c r="Q39" s="290" t="s">
        <v>67</v>
      </c>
      <c r="R39" s="290" t="s">
        <v>124</v>
      </c>
      <c r="S39" s="286" t="s">
        <v>156</v>
      </c>
      <c r="T39" s="286" t="s">
        <v>91</v>
      </c>
      <c r="U39" s="291" t="s">
        <v>142</v>
      </c>
      <c r="V39" s="292"/>
      <c r="W39" s="293"/>
      <c r="X39" s="293"/>
      <c r="Y39" s="293"/>
      <c r="Z39" s="293"/>
      <c r="AA39" s="293"/>
      <c r="AB39" s="293" t="s">
        <v>1141</v>
      </c>
      <c r="AC39" s="293"/>
      <c r="AD39" s="293"/>
      <c r="AE39" s="293"/>
      <c r="AF39" s="293"/>
      <c r="AG39" s="293"/>
      <c r="AH39" s="286" t="s">
        <v>205</v>
      </c>
      <c r="AI39" s="290" t="s">
        <v>124</v>
      </c>
      <c r="AJ39" s="290" t="s">
        <v>124</v>
      </c>
      <c r="AK39" s="290" t="s">
        <v>124</v>
      </c>
      <c r="AL39" s="290" t="s">
        <v>124</v>
      </c>
      <c r="AM39" s="290" t="s">
        <v>124</v>
      </c>
      <c r="AN39" s="290" t="s">
        <v>124</v>
      </c>
      <c r="AO39" s="290" t="s">
        <v>124</v>
      </c>
      <c r="AP39" s="290" t="s">
        <v>124</v>
      </c>
      <c r="AQ39" s="290" t="s">
        <v>124</v>
      </c>
      <c r="AR39" s="290" t="s">
        <v>124</v>
      </c>
      <c r="AS39" s="290" t="s">
        <v>124</v>
      </c>
      <c r="AT39" s="290" t="s">
        <v>124</v>
      </c>
      <c r="AU39" s="290" t="s">
        <v>124</v>
      </c>
      <c r="AV39" s="290" t="s">
        <v>124</v>
      </c>
      <c r="AW39" s="290" t="s">
        <v>124</v>
      </c>
      <c r="AX39" s="290" t="s">
        <v>124</v>
      </c>
      <c r="AY39" s="290" t="s">
        <v>124</v>
      </c>
      <c r="AZ39" s="290" t="s">
        <v>124</v>
      </c>
      <c r="BA39" s="290" t="s">
        <v>124</v>
      </c>
      <c r="BB39" s="290" t="s">
        <v>124</v>
      </c>
      <c r="BC39" s="290" t="s">
        <v>124</v>
      </c>
      <c r="BD39" s="290" t="s">
        <v>124</v>
      </c>
      <c r="BE39" s="290" t="s">
        <v>124</v>
      </c>
      <c r="BF39" s="290" t="s">
        <v>124</v>
      </c>
      <c r="BG39" s="290" t="s">
        <v>124</v>
      </c>
      <c r="BH39" s="290" t="s">
        <v>67</v>
      </c>
      <c r="BI39" s="290" t="s">
        <v>67</v>
      </c>
      <c r="BJ39" s="290" t="s">
        <v>67</v>
      </c>
      <c r="BK39" s="290" t="s">
        <v>124</v>
      </c>
      <c r="BL39" s="290" t="s">
        <v>124</v>
      </c>
      <c r="BM39" s="290" t="s">
        <v>124</v>
      </c>
      <c r="BN39" s="290" t="s">
        <v>124</v>
      </c>
      <c r="BO39" s="290" t="s">
        <v>124</v>
      </c>
      <c r="BP39" s="290" t="s">
        <v>124</v>
      </c>
      <c r="BQ39" s="290" t="s">
        <v>124</v>
      </c>
      <c r="BR39" s="290" t="s">
        <v>124</v>
      </c>
      <c r="BS39" s="290" t="s">
        <v>124</v>
      </c>
      <c r="BT39" s="290" t="s">
        <v>124</v>
      </c>
      <c r="BU39" s="290" t="s">
        <v>124</v>
      </c>
      <c r="BV39" s="290" t="s">
        <v>124</v>
      </c>
      <c r="BW39" s="290" t="s">
        <v>124</v>
      </c>
      <c r="BX39" s="290" t="s">
        <v>124</v>
      </c>
      <c r="BY39" s="290" t="s">
        <v>124</v>
      </c>
      <c r="BZ39" s="290" t="s">
        <v>124</v>
      </c>
      <c r="CA39" s="290" t="s">
        <v>124</v>
      </c>
      <c r="CB39" s="290" t="s">
        <v>124</v>
      </c>
      <c r="CC39" s="290" t="s">
        <v>124</v>
      </c>
      <c r="CD39" s="290" t="s">
        <v>124</v>
      </c>
      <c r="CE39" s="290" t="s">
        <v>124</v>
      </c>
      <c r="CF39" s="290" t="s">
        <v>124</v>
      </c>
      <c r="CG39" s="290" t="s">
        <v>124</v>
      </c>
      <c r="CH39" s="290" t="s">
        <v>124</v>
      </c>
      <c r="CI39" s="290" t="s">
        <v>124</v>
      </c>
      <c r="CJ39" s="290" t="s">
        <v>124</v>
      </c>
      <c r="CK39" s="290" t="s">
        <v>124</v>
      </c>
      <c r="CL39" s="290" t="s">
        <v>124</v>
      </c>
      <c r="CM39" s="290" t="s">
        <v>124</v>
      </c>
      <c r="CN39" s="290" t="s">
        <v>124</v>
      </c>
      <c r="CO39" s="290" t="s">
        <v>124</v>
      </c>
      <c r="CP39" s="290" t="s">
        <v>124</v>
      </c>
      <c r="CQ39" s="290" t="s">
        <v>124</v>
      </c>
      <c r="CR39" s="290" t="s">
        <v>124</v>
      </c>
      <c r="CS39" s="290" t="s">
        <v>124</v>
      </c>
      <c r="CT39" s="290" t="s">
        <v>124</v>
      </c>
      <c r="CU39" s="290" t="s">
        <v>124</v>
      </c>
      <c r="CV39" s="290" t="s">
        <v>124</v>
      </c>
      <c r="CW39" s="290" t="s">
        <v>124</v>
      </c>
      <c r="CX39" s="290" t="s">
        <v>124</v>
      </c>
      <c r="CY39" s="290" t="s">
        <v>124</v>
      </c>
      <c r="CZ39" s="290" t="s">
        <v>124</v>
      </c>
      <c r="DA39" s="290" t="s">
        <v>124</v>
      </c>
      <c r="DB39" s="290" t="s">
        <v>124</v>
      </c>
      <c r="DC39" s="290" t="s">
        <v>124</v>
      </c>
      <c r="DD39" s="290" t="s">
        <v>124</v>
      </c>
      <c r="DE39" s="290" t="s">
        <v>124</v>
      </c>
      <c r="DF39" s="290" t="s">
        <v>124</v>
      </c>
      <c r="DG39" s="290" t="s">
        <v>124</v>
      </c>
      <c r="DH39" s="290" t="s">
        <v>124</v>
      </c>
      <c r="DI39" s="290" t="s">
        <v>124</v>
      </c>
      <c r="DJ39" s="290" t="s">
        <v>124</v>
      </c>
      <c r="DK39" s="290" t="s">
        <v>124</v>
      </c>
      <c r="DL39" s="290" t="s">
        <v>124</v>
      </c>
      <c r="DM39" s="290" t="s">
        <v>124</v>
      </c>
      <c r="DN39" s="290" t="s">
        <v>124</v>
      </c>
      <c r="DO39" s="290" t="s">
        <v>124</v>
      </c>
      <c r="DP39" s="290" t="s">
        <v>124</v>
      </c>
      <c r="DQ39" s="290" t="s">
        <v>124</v>
      </c>
      <c r="DR39" s="290" t="s">
        <v>124</v>
      </c>
      <c r="DS39" s="290" t="s">
        <v>124</v>
      </c>
      <c r="DT39" s="290" t="s">
        <v>124</v>
      </c>
      <c r="DU39" s="290" t="s">
        <v>124</v>
      </c>
      <c r="DV39" s="290" t="s">
        <v>124</v>
      </c>
      <c r="DW39" s="290" t="s">
        <v>124</v>
      </c>
      <c r="DX39" s="290" t="s">
        <v>124</v>
      </c>
      <c r="DY39" s="290" t="s">
        <v>124</v>
      </c>
      <c r="DZ39" s="290" t="s">
        <v>124</v>
      </c>
      <c r="EA39" s="290" t="s">
        <v>124</v>
      </c>
      <c r="EB39" s="290" t="s">
        <v>124</v>
      </c>
      <c r="EC39" s="290" t="s">
        <v>124</v>
      </c>
      <c r="ED39" s="290" t="s">
        <v>124</v>
      </c>
      <c r="EE39" s="290" t="s">
        <v>124</v>
      </c>
      <c r="EF39" s="290" t="s">
        <v>124</v>
      </c>
      <c r="EG39" s="290" t="s">
        <v>124</v>
      </c>
      <c r="EH39" s="290" t="s">
        <v>124</v>
      </c>
      <c r="EI39" s="290" t="s">
        <v>124</v>
      </c>
      <c r="EJ39" s="290" t="s">
        <v>124</v>
      </c>
      <c r="EK39" s="290" t="s">
        <v>124</v>
      </c>
      <c r="EL39" s="290" t="s">
        <v>124</v>
      </c>
      <c r="EM39" s="290" t="s">
        <v>124</v>
      </c>
      <c r="EN39" s="290" t="s">
        <v>124</v>
      </c>
      <c r="EO39" s="290" t="s">
        <v>124</v>
      </c>
      <c r="EP39" s="290" t="s">
        <v>124</v>
      </c>
      <c r="EQ39" s="290" t="s">
        <v>124</v>
      </c>
      <c r="ER39" s="290" t="s">
        <v>124</v>
      </c>
      <c r="ES39" s="290" t="s">
        <v>124</v>
      </c>
      <c r="ET39" s="290" t="s">
        <v>124</v>
      </c>
      <c r="EU39" s="294" t="s">
        <v>124</v>
      </c>
      <c r="EV39" s="286" t="s">
        <v>1114</v>
      </c>
      <c r="EW39" s="286" t="s">
        <v>1115</v>
      </c>
      <c r="EX39" s="286" t="s">
        <v>1116</v>
      </c>
      <c r="EY39" s="286" t="s">
        <v>1117</v>
      </c>
      <c r="EZ39" s="286" t="s">
        <v>68</v>
      </c>
      <c r="FA39" s="286" t="s">
        <v>68</v>
      </c>
      <c r="FB39" s="286" t="s">
        <v>68</v>
      </c>
      <c r="FC39" s="286" t="s">
        <v>68</v>
      </c>
      <c r="FD39" s="286" t="s">
        <v>1118</v>
      </c>
    </row>
    <row r="40" spans="2:160" s="6" customFormat="1" ht="13.5" customHeight="1" outlineLevel="4" x14ac:dyDescent="0.35">
      <c r="B40" s="295" t="s">
        <v>126</v>
      </c>
      <c r="C40" s="287" t="s">
        <v>134</v>
      </c>
      <c r="D40" s="287" t="s">
        <v>161</v>
      </c>
      <c r="E40" s="287" t="s">
        <v>164</v>
      </c>
      <c r="F40" s="287" t="s">
        <v>159</v>
      </c>
      <c r="G40" s="287" t="s">
        <v>166</v>
      </c>
      <c r="H40" s="296" t="s">
        <v>165</v>
      </c>
      <c r="I40" s="296" t="s">
        <v>158</v>
      </c>
      <c r="J40" s="288" t="s">
        <v>158</v>
      </c>
      <c r="K40" s="287" t="s">
        <v>158</v>
      </c>
      <c r="L40" s="289" t="s">
        <v>158</v>
      </c>
      <c r="M40" s="289" t="s">
        <v>158</v>
      </c>
      <c r="N40" s="289" t="s">
        <v>158</v>
      </c>
      <c r="O40" s="289" t="s">
        <v>158</v>
      </c>
      <c r="P40" s="290">
        <f t="shared" si="0"/>
        <v>0</v>
      </c>
      <c r="Q40" s="290" t="s">
        <v>67</v>
      </c>
      <c r="R40" s="290" t="s">
        <v>124</v>
      </c>
      <c r="S40" s="286" t="s">
        <v>156</v>
      </c>
      <c r="T40" s="286" t="s">
        <v>91</v>
      </c>
      <c r="U40" s="291" t="s">
        <v>51</v>
      </c>
      <c r="V40" s="292"/>
      <c r="W40" s="293"/>
      <c r="X40" s="293"/>
      <c r="Y40" s="293"/>
      <c r="Z40" s="293"/>
      <c r="AA40" s="293" t="s">
        <v>1148</v>
      </c>
      <c r="AB40" s="293"/>
      <c r="AC40" s="293"/>
      <c r="AD40" s="293"/>
      <c r="AE40" s="293"/>
      <c r="AF40" s="293"/>
      <c r="AG40" s="293"/>
      <c r="AH40" s="286" t="s">
        <v>206</v>
      </c>
      <c r="AI40" s="290" t="s">
        <v>124</v>
      </c>
      <c r="AJ40" s="290" t="s">
        <v>124</v>
      </c>
      <c r="AK40" s="290" t="s">
        <v>124</v>
      </c>
      <c r="AL40" s="290" t="s">
        <v>124</v>
      </c>
      <c r="AM40" s="290" t="s">
        <v>124</v>
      </c>
      <c r="AN40" s="290" t="s">
        <v>124</v>
      </c>
      <c r="AO40" s="290" t="s">
        <v>124</v>
      </c>
      <c r="AP40" s="290" t="s">
        <v>124</v>
      </c>
      <c r="AQ40" s="290" t="s">
        <v>124</v>
      </c>
      <c r="AR40" s="290" t="s">
        <v>124</v>
      </c>
      <c r="AS40" s="290" t="s">
        <v>124</v>
      </c>
      <c r="AT40" s="290" t="s">
        <v>124</v>
      </c>
      <c r="AU40" s="290" t="s">
        <v>124</v>
      </c>
      <c r="AV40" s="290" t="s">
        <v>124</v>
      </c>
      <c r="AW40" s="290" t="s">
        <v>124</v>
      </c>
      <c r="AX40" s="290" t="s">
        <v>124</v>
      </c>
      <c r="AY40" s="290" t="s">
        <v>124</v>
      </c>
      <c r="AZ40" s="290" t="s">
        <v>124</v>
      </c>
      <c r="BA40" s="290" t="s">
        <v>124</v>
      </c>
      <c r="BB40" s="290" t="s">
        <v>124</v>
      </c>
      <c r="BC40" s="290" t="s">
        <v>124</v>
      </c>
      <c r="BD40" s="290" t="s">
        <v>124</v>
      </c>
      <c r="BE40" s="290" t="s">
        <v>124</v>
      </c>
      <c r="BF40" s="290" t="s">
        <v>124</v>
      </c>
      <c r="BG40" s="290" t="s">
        <v>124</v>
      </c>
      <c r="BH40" s="290" t="s">
        <v>67</v>
      </c>
      <c r="BI40" s="290" t="s">
        <v>67</v>
      </c>
      <c r="BJ40" s="290" t="s">
        <v>67</v>
      </c>
      <c r="BK40" s="290" t="s">
        <v>124</v>
      </c>
      <c r="BL40" s="290" t="s">
        <v>124</v>
      </c>
      <c r="BM40" s="290" t="s">
        <v>124</v>
      </c>
      <c r="BN40" s="290" t="s">
        <v>124</v>
      </c>
      <c r="BO40" s="290" t="s">
        <v>124</v>
      </c>
      <c r="BP40" s="290" t="s">
        <v>124</v>
      </c>
      <c r="BQ40" s="290" t="s">
        <v>124</v>
      </c>
      <c r="BR40" s="290" t="s">
        <v>124</v>
      </c>
      <c r="BS40" s="290" t="s">
        <v>124</v>
      </c>
      <c r="BT40" s="290" t="s">
        <v>124</v>
      </c>
      <c r="BU40" s="290" t="s">
        <v>124</v>
      </c>
      <c r="BV40" s="290" t="s">
        <v>124</v>
      </c>
      <c r="BW40" s="290" t="s">
        <v>124</v>
      </c>
      <c r="BX40" s="290" t="s">
        <v>124</v>
      </c>
      <c r="BY40" s="290" t="s">
        <v>124</v>
      </c>
      <c r="BZ40" s="290" t="s">
        <v>124</v>
      </c>
      <c r="CA40" s="290" t="s">
        <v>124</v>
      </c>
      <c r="CB40" s="290" t="s">
        <v>124</v>
      </c>
      <c r="CC40" s="290" t="s">
        <v>124</v>
      </c>
      <c r="CD40" s="290" t="s">
        <v>124</v>
      </c>
      <c r="CE40" s="290" t="s">
        <v>124</v>
      </c>
      <c r="CF40" s="290" t="s">
        <v>124</v>
      </c>
      <c r="CG40" s="290" t="s">
        <v>124</v>
      </c>
      <c r="CH40" s="290" t="s">
        <v>124</v>
      </c>
      <c r="CI40" s="290" t="s">
        <v>124</v>
      </c>
      <c r="CJ40" s="290" t="s">
        <v>124</v>
      </c>
      <c r="CK40" s="290" t="s">
        <v>124</v>
      </c>
      <c r="CL40" s="290" t="s">
        <v>124</v>
      </c>
      <c r="CM40" s="290" t="s">
        <v>124</v>
      </c>
      <c r="CN40" s="290" t="s">
        <v>124</v>
      </c>
      <c r="CO40" s="290" t="s">
        <v>124</v>
      </c>
      <c r="CP40" s="290" t="s">
        <v>124</v>
      </c>
      <c r="CQ40" s="290" t="s">
        <v>124</v>
      </c>
      <c r="CR40" s="290" t="s">
        <v>124</v>
      </c>
      <c r="CS40" s="290" t="s">
        <v>124</v>
      </c>
      <c r="CT40" s="290" t="s">
        <v>124</v>
      </c>
      <c r="CU40" s="290" t="s">
        <v>124</v>
      </c>
      <c r="CV40" s="290" t="s">
        <v>124</v>
      </c>
      <c r="CW40" s="290" t="s">
        <v>124</v>
      </c>
      <c r="CX40" s="290" t="s">
        <v>124</v>
      </c>
      <c r="CY40" s="290" t="s">
        <v>124</v>
      </c>
      <c r="CZ40" s="290" t="s">
        <v>124</v>
      </c>
      <c r="DA40" s="290" t="s">
        <v>124</v>
      </c>
      <c r="DB40" s="290" t="s">
        <v>124</v>
      </c>
      <c r="DC40" s="290" t="s">
        <v>124</v>
      </c>
      <c r="DD40" s="290" t="s">
        <v>124</v>
      </c>
      <c r="DE40" s="290" t="s">
        <v>124</v>
      </c>
      <c r="DF40" s="290" t="s">
        <v>124</v>
      </c>
      <c r="DG40" s="290" t="s">
        <v>124</v>
      </c>
      <c r="DH40" s="290" t="s">
        <v>124</v>
      </c>
      <c r="DI40" s="290" t="s">
        <v>124</v>
      </c>
      <c r="DJ40" s="290" t="s">
        <v>124</v>
      </c>
      <c r="DK40" s="290" t="s">
        <v>124</v>
      </c>
      <c r="DL40" s="290" t="s">
        <v>124</v>
      </c>
      <c r="DM40" s="290" t="s">
        <v>124</v>
      </c>
      <c r="DN40" s="290" t="s">
        <v>124</v>
      </c>
      <c r="DO40" s="290" t="s">
        <v>124</v>
      </c>
      <c r="DP40" s="290" t="s">
        <v>124</v>
      </c>
      <c r="DQ40" s="290" t="s">
        <v>124</v>
      </c>
      <c r="DR40" s="290" t="s">
        <v>124</v>
      </c>
      <c r="DS40" s="290" t="s">
        <v>124</v>
      </c>
      <c r="DT40" s="290" t="s">
        <v>124</v>
      </c>
      <c r="DU40" s="290" t="s">
        <v>124</v>
      </c>
      <c r="DV40" s="290" t="s">
        <v>124</v>
      </c>
      <c r="DW40" s="290" t="s">
        <v>124</v>
      </c>
      <c r="DX40" s="290" t="s">
        <v>124</v>
      </c>
      <c r="DY40" s="290" t="s">
        <v>124</v>
      </c>
      <c r="DZ40" s="290" t="s">
        <v>124</v>
      </c>
      <c r="EA40" s="290" t="s">
        <v>124</v>
      </c>
      <c r="EB40" s="290" t="s">
        <v>124</v>
      </c>
      <c r="EC40" s="290" t="s">
        <v>124</v>
      </c>
      <c r="ED40" s="290" t="s">
        <v>124</v>
      </c>
      <c r="EE40" s="290" t="s">
        <v>124</v>
      </c>
      <c r="EF40" s="290" t="s">
        <v>124</v>
      </c>
      <c r="EG40" s="290" t="s">
        <v>124</v>
      </c>
      <c r="EH40" s="290" t="s">
        <v>124</v>
      </c>
      <c r="EI40" s="290" t="s">
        <v>124</v>
      </c>
      <c r="EJ40" s="290" t="s">
        <v>124</v>
      </c>
      <c r="EK40" s="290" t="s">
        <v>124</v>
      </c>
      <c r="EL40" s="290" t="s">
        <v>124</v>
      </c>
      <c r="EM40" s="290" t="s">
        <v>124</v>
      </c>
      <c r="EN40" s="290" t="s">
        <v>124</v>
      </c>
      <c r="EO40" s="290" t="s">
        <v>124</v>
      </c>
      <c r="EP40" s="290" t="s">
        <v>124</v>
      </c>
      <c r="EQ40" s="290" t="s">
        <v>124</v>
      </c>
      <c r="ER40" s="290" t="s">
        <v>124</v>
      </c>
      <c r="ES40" s="290" t="s">
        <v>124</v>
      </c>
      <c r="ET40" s="290" t="s">
        <v>124</v>
      </c>
      <c r="EU40" s="294" t="s">
        <v>124</v>
      </c>
      <c r="EV40" s="286" t="s">
        <v>1114</v>
      </c>
      <c r="EW40" s="286" t="s">
        <v>1115</v>
      </c>
      <c r="EX40" s="286" t="s">
        <v>1116</v>
      </c>
      <c r="EY40" s="286" t="s">
        <v>1117</v>
      </c>
      <c r="EZ40" s="286" t="s">
        <v>68</v>
      </c>
      <c r="FA40" s="286" t="s">
        <v>68</v>
      </c>
      <c r="FB40" s="286" t="s">
        <v>68</v>
      </c>
      <c r="FC40" s="286" t="s">
        <v>68</v>
      </c>
      <c r="FD40" s="286" t="s">
        <v>1118</v>
      </c>
    </row>
    <row r="41" spans="2:160" s="6" customFormat="1" ht="13.5" customHeight="1" outlineLevel="4" x14ac:dyDescent="0.35">
      <c r="B41" s="295" t="s">
        <v>126</v>
      </c>
      <c r="C41" s="287" t="s">
        <v>134</v>
      </c>
      <c r="D41" s="287" t="s">
        <v>161</v>
      </c>
      <c r="E41" s="287" t="s">
        <v>164</v>
      </c>
      <c r="F41" s="287" t="s">
        <v>159</v>
      </c>
      <c r="G41" s="287" t="s">
        <v>166</v>
      </c>
      <c r="H41" s="296" t="s">
        <v>166</v>
      </c>
      <c r="I41" s="296" t="s">
        <v>158</v>
      </c>
      <c r="J41" s="288" t="s">
        <v>158</v>
      </c>
      <c r="K41" s="287" t="s">
        <v>158</v>
      </c>
      <c r="L41" s="289" t="s">
        <v>158</v>
      </c>
      <c r="M41" s="289" t="s">
        <v>158</v>
      </c>
      <c r="N41" s="289" t="s">
        <v>158</v>
      </c>
      <c r="O41" s="289" t="s">
        <v>158</v>
      </c>
      <c r="P41" s="290">
        <f t="shared" si="0"/>
        <v>0</v>
      </c>
      <c r="Q41" s="290" t="s">
        <v>67</v>
      </c>
      <c r="R41" s="290" t="s">
        <v>124</v>
      </c>
      <c r="S41" s="286" t="s">
        <v>156</v>
      </c>
      <c r="T41" s="286" t="s">
        <v>91</v>
      </c>
      <c r="U41" s="291" t="s">
        <v>53</v>
      </c>
      <c r="V41" s="292"/>
      <c r="W41" s="293"/>
      <c r="X41" s="293"/>
      <c r="Y41" s="293"/>
      <c r="Z41" s="293"/>
      <c r="AA41" s="293" t="s">
        <v>1149</v>
      </c>
      <c r="AB41" s="293"/>
      <c r="AC41" s="293"/>
      <c r="AD41" s="293"/>
      <c r="AE41" s="293"/>
      <c r="AF41" s="293"/>
      <c r="AG41" s="293"/>
      <c r="AH41" s="297" t="s">
        <v>207</v>
      </c>
      <c r="AI41" s="290" t="s">
        <v>124</v>
      </c>
      <c r="AJ41" s="290" t="s">
        <v>124</v>
      </c>
      <c r="AK41" s="290" t="s">
        <v>124</v>
      </c>
      <c r="AL41" s="290" t="s">
        <v>124</v>
      </c>
      <c r="AM41" s="290" t="s">
        <v>124</v>
      </c>
      <c r="AN41" s="290" t="s">
        <v>124</v>
      </c>
      <c r="AO41" s="290" t="s">
        <v>124</v>
      </c>
      <c r="AP41" s="290" t="s">
        <v>124</v>
      </c>
      <c r="AQ41" s="290" t="s">
        <v>124</v>
      </c>
      <c r="AR41" s="290" t="s">
        <v>124</v>
      </c>
      <c r="AS41" s="290" t="s">
        <v>124</v>
      </c>
      <c r="AT41" s="290" t="s">
        <v>124</v>
      </c>
      <c r="AU41" s="290" t="s">
        <v>124</v>
      </c>
      <c r="AV41" s="290" t="s">
        <v>124</v>
      </c>
      <c r="AW41" s="290" t="s">
        <v>124</v>
      </c>
      <c r="AX41" s="290" t="s">
        <v>124</v>
      </c>
      <c r="AY41" s="290" t="s">
        <v>124</v>
      </c>
      <c r="AZ41" s="290" t="s">
        <v>124</v>
      </c>
      <c r="BA41" s="290" t="s">
        <v>124</v>
      </c>
      <c r="BB41" s="290" t="s">
        <v>124</v>
      </c>
      <c r="BC41" s="290" t="s">
        <v>124</v>
      </c>
      <c r="BD41" s="290" t="s">
        <v>124</v>
      </c>
      <c r="BE41" s="290" t="s">
        <v>124</v>
      </c>
      <c r="BF41" s="290" t="s">
        <v>124</v>
      </c>
      <c r="BG41" s="290" t="s">
        <v>124</v>
      </c>
      <c r="BH41" s="290" t="s">
        <v>67</v>
      </c>
      <c r="BI41" s="290" t="s">
        <v>67</v>
      </c>
      <c r="BJ41" s="290" t="s">
        <v>67</v>
      </c>
      <c r="BK41" s="290" t="s">
        <v>124</v>
      </c>
      <c r="BL41" s="290" t="s">
        <v>124</v>
      </c>
      <c r="BM41" s="290" t="s">
        <v>124</v>
      </c>
      <c r="BN41" s="290" t="s">
        <v>124</v>
      </c>
      <c r="BO41" s="290" t="s">
        <v>124</v>
      </c>
      <c r="BP41" s="290" t="s">
        <v>124</v>
      </c>
      <c r="BQ41" s="290" t="s">
        <v>124</v>
      </c>
      <c r="BR41" s="290" t="s">
        <v>124</v>
      </c>
      <c r="BS41" s="290" t="s">
        <v>124</v>
      </c>
      <c r="BT41" s="290" t="s">
        <v>124</v>
      </c>
      <c r="BU41" s="290" t="s">
        <v>124</v>
      </c>
      <c r="BV41" s="290" t="s">
        <v>124</v>
      </c>
      <c r="BW41" s="290" t="s">
        <v>124</v>
      </c>
      <c r="BX41" s="290" t="s">
        <v>124</v>
      </c>
      <c r="BY41" s="290" t="s">
        <v>124</v>
      </c>
      <c r="BZ41" s="290" t="s">
        <v>124</v>
      </c>
      <c r="CA41" s="290" t="s">
        <v>124</v>
      </c>
      <c r="CB41" s="290" t="s">
        <v>124</v>
      </c>
      <c r="CC41" s="290" t="s">
        <v>124</v>
      </c>
      <c r="CD41" s="290" t="s">
        <v>124</v>
      </c>
      <c r="CE41" s="290" t="s">
        <v>124</v>
      </c>
      <c r="CF41" s="290" t="s">
        <v>124</v>
      </c>
      <c r="CG41" s="290" t="s">
        <v>124</v>
      </c>
      <c r="CH41" s="290" t="s">
        <v>124</v>
      </c>
      <c r="CI41" s="290" t="s">
        <v>124</v>
      </c>
      <c r="CJ41" s="290" t="s">
        <v>124</v>
      </c>
      <c r="CK41" s="290" t="s">
        <v>124</v>
      </c>
      <c r="CL41" s="290" t="s">
        <v>124</v>
      </c>
      <c r="CM41" s="290" t="s">
        <v>124</v>
      </c>
      <c r="CN41" s="290" t="s">
        <v>124</v>
      </c>
      <c r="CO41" s="290" t="s">
        <v>124</v>
      </c>
      <c r="CP41" s="290" t="s">
        <v>124</v>
      </c>
      <c r="CQ41" s="290" t="s">
        <v>124</v>
      </c>
      <c r="CR41" s="290" t="s">
        <v>124</v>
      </c>
      <c r="CS41" s="290" t="s">
        <v>124</v>
      </c>
      <c r="CT41" s="290" t="s">
        <v>124</v>
      </c>
      <c r="CU41" s="290" t="s">
        <v>124</v>
      </c>
      <c r="CV41" s="290" t="s">
        <v>124</v>
      </c>
      <c r="CW41" s="290" t="s">
        <v>124</v>
      </c>
      <c r="CX41" s="290" t="s">
        <v>124</v>
      </c>
      <c r="CY41" s="290" t="s">
        <v>124</v>
      </c>
      <c r="CZ41" s="290" t="s">
        <v>124</v>
      </c>
      <c r="DA41" s="290" t="s">
        <v>124</v>
      </c>
      <c r="DB41" s="290" t="s">
        <v>124</v>
      </c>
      <c r="DC41" s="290" t="s">
        <v>124</v>
      </c>
      <c r="DD41" s="290" t="s">
        <v>124</v>
      </c>
      <c r="DE41" s="290" t="s">
        <v>124</v>
      </c>
      <c r="DF41" s="290" t="s">
        <v>124</v>
      </c>
      <c r="DG41" s="290" t="s">
        <v>124</v>
      </c>
      <c r="DH41" s="290" t="s">
        <v>124</v>
      </c>
      <c r="DI41" s="290" t="s">
        <v>124</v>
      </c>
      <c r="DJ41" s="290" t="s">
        <v>124</v>
      </c>
      <c r="DK41" s="290" t="s">
        <v>124</v>
      </c>
      <c r="DL41" s="290" t="s">
        <v>124</v>
      </c>
      <c r="DM41" s="290" t="s">
        <v>124</v>
      </c>
      <c r="DN41" s="290" t="s">
        <v>124</v>
      </c>
      <c r="DO41" s="290" t="s">
        <v>124</v>
      </c>
      <c r="DP41" s="290" t="s">
        <v>124</v>
      </c>
      <c r="DQ41" s="290" t="s">
        <v>124</v>
      </c>
      <c r="DR41" s="290" t="s">
        <v>124</v>
      </c>
      <c r="DS41" s="290" t="s">
        <v>124</v>
      </c>
      <c r="DT41" s="290" t="s">
        <v>124</v>
      </c>
      <c r="DU41" s="290" t="s">
        <v>124</v>
      </c>
      <c r="DV41" s="290" t="s">
        <v>124</v>
      </c>
      <c r="DW41" s="290" t="s">
        <v>124</v>
      </c>
      <c r="DX41" s="290" t="s">
        <v>124</v>
      </c>
      <c r="DY41" s="290" t="s">
        <v>124</v>
      </c>
      <c r="DZ41" s="290" t="s">
        <v>124</v>
      </c>
      <c r="EA41" s="290" t="s">
        <v>124</v>
      </c>
      <c r="EB41" s="290" t="s">
        <v>124</v>
      </c>
      <c r="EC41" s="290" t="s">
        <v>124</v>
      </c>
      <c r="ED41" s="290" t="s">
        <v>124</v>
      </c>
      <c r="EE41" s="290" t="s">
        <v>124</v>
      </c>
      <c r="EF41" s="290" t="s">
        <v>124</v>
      </c>
      <c r="EG41" s="290" t="s">
        <v>124</v>
      </c>
      <c r="EH41" s="290" t="s">
        <v>124</v>
      </c>
      <c r="EI41" s="290" t="s">
        <v>124</v>
      </c>
      <c r="EJ41" s="290" t="s">
        <v>124</v>
      </c>
      <c r="EK41" s="290" t="s">
        <v>124</v>
      </c>
      <c r="EL41" s="290" t="s">
        <v>124</v>
      </c>
      <c r="EM41" s="290" t="s">
        <v>124</v>
      </c>
      <c r="EN41" s="290" t="s">
        <v>124</v>
      </c>
      <c r="EO41" s="290" t="s">
        <v>124</v>
      </c>
      <c r="EP41" s="290" t="s">
        <v>124</v>
      </c>
      <c r="EQ41" s="290" t="s">
        <v>124</v>
      </c>
      <c r="ER41" s="290" t="s">
        <v>124</v>
      </c>
      <c r="ES41" s="290" t="s">
        <v>124</v>
      </c>
      <c r="ET41" s="290" t="s">
        <v>124</v>
      </c>
      <c r="EU41" s="294" t="s">
        <v>124</v>
      </c>
      <c r="EV41" s="286" t="s">
        <v>1114</v>
      </c>
      <c r="EW41" s="286" t="s">
        <v>1115</v>
      </c>
      <c r="EX41" s="286" t="s">
        <v>1116</v>
      </c>
      <c r="EY41" s="286" t="s">
        <v>1117</v>
      </c>
      <c r="EZ41" s="286" t="s">
        <v>68</v>
      </c>
      <c r="FA41" s="286" t="s">
        <v>68</v>
      </c>
      <c r="FB41" s="286" t="s">
        <v>68</v>
      </c>
      <c r="FC41" s="286" t="s">
        <v>68</v>
      </c>
      <c r="FD41" s="286" t="s">
        <v>1118</v>
      </c>
    </row>
    <row r="42" spans="2:160" s="6" customFormat="1" ht="13.5" customHeight="1" outlineLevel="4" x14ac:dyDescent="0.35">
      <c r="B42" s="295" t="s">
        <v>126</v>
      </c>
      <c r="C42" s="287" t="s">
        <v>134</v>
      </c>
      <c r="D42" s="287" t="s">
        <v>161</v>
      </c>
      <c r="E42" s="287" t="s">
        <v>164</v>
      </c>
      <c r="F42" s="287" t="s">
        <v>159</v>
      </c>
      <c r="G42" s="287" t="s">
        <v>166</v>
      </c>
      <c r="H42" s="296" t="s">
        <v>167</v>
      </c>
      <c r="I42" s="296" t="s">
        <v>158</v>
      </c>
      <c r="J42" s="288" t="s">
        <v>158</v>
      </c>
      <c r="K42" s="287" t="s">
        <v>158</v>
      </c>
      <c r="L42" s="289" t="s">
        <v>158</v>
      </c>
      <c r="M42" s="289" t="s">
        <v>158</v>
      </c>
      <c r="N42" s="289" t="s">
        <v>158</v>
      </c>
      <c r="O42" s="289" t="s">
        <v>158</v>
      </c>
      <c r="P42" s="290">
        <f t="shared" si="0"/>
        <v>0</v>
      </c>
      <c r="Q42" s="290" t="s">
        <v>67</v>
      </c>
      <c r="R42" s="290" t="s">
        <v>124</v>
      </c>
      <c r="S42" s="286" t="s">
        <v>156</v>
      </c>
      <c r="T42" s="286" t="s">
        <v>91</v>
      </c>
      <c r="U42" s="291" t="s">
        <v>55</v>
      </c>
      <c r="V42" s="292"/>
      <c r="W42" s="293"/>
      <c r="X42" s="293"/>
      <c r="Y42" s="293"/>
      <c r="Z42" s="293"/>
      <c r="AA42" s="293" t="s">
        <v>1150</v>
      </c>
      <c r="AB42" s="293"/>
      <c r="AC42" s="293"/>
      <c r="AD42" s="293"/>
      <c r="AE42" s="293"/>
      <c r="AF42" s="293"/>
      <c r="AG42" s="293"/>
      <c r="AH42" s="286" t="s">
        <v>208</v>
      </c>
      <c r="AI42" s="290" t="s">
        <v>124</v>
      </c>
      <c r="AJ42" s="290" t="s">
        <v>124</v>
      </c>
      <c r="AK42" s="290" t="s">
        <v>124</v>
      </c>
      <c r="AL42" s="290" t="s">
        <v>124</v>
      </c>
      <c r="AM42" s="290" t="s">
        <v>124</v>
      </c>
      <c r="AN42" s="290" t="s">
        <v>124</v>
      </c>
      <c r="AO42" s="290" t="s">
        <v>124</v>
      </c>
      <c r="AP42" s="290" t="s">
        <v>124</v>
      </c>
      <c r="AQ42" s="290" t="s">
        <v>124</v>
      </c>
      <c r="AR42" s="290" t="s">
        <v>124</v>
      </c>
      <c r="AS42" s="290" t="s">
        <v>124</v>
      </c>
      <c r="AT42" s="290" t="s">
        <v>124</v>
      </c>
      <c r="AU42" s="290" t="s">
        <v>124</v>
      </c>
      <c r="AV42" s="290" t="s">
        <v>124</v>
      </c>
      <c r="AW42" s="290" t="s">
        <v>124</v>
      </c>
      <c r="AX42" s="290" t="s">
        <v>124</v>
      </c>
      <c r="AY42" s="290" t="s">
        <v>124</v>
      </c>
      <c r="AZ42" s="290" t="s">
        <v>124</v>
      </c>
      <c r="BA42" s="290" t="s">
        <v>124</v>
      </c>
      <c r="BB42" s="290" t="s">
        <v>124</v>
      </c>
      <c r="BC42" s="290" t="s">
        <v>124</v>
      </c>
      <c r="BD42" s="290" t="s">
        <v>124</v>
      </c>
      <c r="BE42" s="290" t="s">
        <v>124</v>
      </c>
      <c r="BF42" s="290" t="s">
        <v>124</v>
      </c>
      <c r="BG42" s="290" t="s">
        <v>124</v>
      </c>
      <c r="BH42" s="290" t="s">
        <v>67</v>
      </c>
      <c r="BI42" s="290" t="s">
        <v>67</v>
      </c>
      <c r="BJ42" s="290" t="s">
        <v>67</v>
      </c>
      <c r="BK42" s="290" t="s">
        <v>124</v>
      </c>
      <c r="BL42" s="290" t="s">
        <v>124</v>
      </c>
      <c r="BM42" s="290" t="s">
        <v>124</v>
      </c>
      <c r="BN42" s="290" t="s">
        <v>124</v>
      </c>
      <c r="BO42" s="290" t="s">
        <v>124</v>
      </c>
      <c r="BP42" s="290" t="s">
        <v>124</v>
      </c>
      <c r="BQ42" s="290" t="s">
        <v>124</v>
      </c>
      <c r="BR42" s="290" t="s">
        <v>124</v>
      </c>
      <c r="BS42" s="290" t="s">
        <v>124</v>
      </c>
      <c r="BT42" s="290" t="s">
        <v>124</v>
      </c>
      <c r="BU42" s="290" t="s">
        <v>124</v>
      </c>
      <c r="BV42" s="290" t="s">
        <v>124</v>
      </c>
      <c r="BW42" s="290" t="s">
        <v>124</v>
      </c>
      <c r="BX42" s="290" t="s">
        <v>124</v>
      </c>
      <c r="BY42" s="290" t="s">
        <v>124</v>
      </c>
      <c r="BZ42" s="290" t="s">
        <v>124</v>
      </c>
      <c r="CA42" s="290" t="s">
        <v>124</v>
      </c>
      <c r="CB42" s="290" t="s">
        <v>124</v>
      </c>
      <c r="CC42" s="290" t="s">
        <v>124</v>
      </c>
      <c r="CD42" s="290" t="s">
        <v>124</v>
      </c>
      <c r="CE42" s="290" t="s">
        <v>124</v>
      </c>
      <c r="CF42" s="290" t="s">
        <v>124</v>
      </c>
      <c r="CG42" s="290" t="s">
        <v>124</v>
      </c>
      <c r="CH42" s="290" t="s">
        <v>124</v>
      </c>
      <c r="CI42" s="290" t="s">
        <v>124</v>
      </c>
      <c r="CJ42" s="290" t="s">
        <v>124</v>
      </c>
      <c r="CK42" s="290" t="s">
        <v>124</v>
      </c>
      <c r="CL42" s="290" t="s">
        <v>124</v>
      </c>
      <c r="CM42" s="290" t="s">
        <v>124</v>
      </c>
      <c r="CN42" s="290" t="s">
        <v>124</v>
      </c>
      <c r="CO42" s="290" t="s">
        <v>124</v>
      </c>
      <c r="CP42" s="290" t="s">
        <v>124</v>
      </c>
      <c r="CQ42" s="290" t="s">
        <v>124</v>
      </c>
      <c r="CR42" s="290" t="s">
        <v>124</v>
      </c>
      <c r="CS42" s="290" t="s">
        <v>124</v>
      </c>
      <c r="CT42" s="290" t="s">
        <v>124</v>
      </c>
      <c r="CU42" s="290" t="s">
        <v>124</v>
      </c>
      <c r="CV42" s="290" t="s">
        <v>124</v>
      </c>
      <c r="CW42" s="290" t="s">
        <v>124</v>
      </c>
      <c r="CX42" s="290" t="s">
        <v>124</v>
      </c>
      <c r="CY42" s="290" t="s">
        <v>124</v>
      </c>
      <c r="CZ42" s="290" t="s">
        <v>124</v>
      </c>
      <c r="DA42" s="290" t="s">
        <v>124</v>
      </c>
      <c r="DB42" s="290" t="s">
        <v>124</v>
      </c>
      <c r="DC42" s="290" t="s">
        <v>124</v>
      </c>
      <c r="DD42" s="290" t="s">
        <v>124</v>
      </c>
      <c r="DE42" s="290" t="s">
        <v>124</v>
      </c>
      <c r="DF42" s="290" t="s">
        <v>124</v>
      </c>
      <c r="DG42" s="290" t="s">
        <v>124</v>
      </c>
      <c r="DH42" s="290" t="s">
        <v>124</v>
      </c>
      <c r="DI42" s="290" t="s">
        <v>124</v>
      </c>
      <c r="DJ42" s="290" t="s">
        <v>124</v>
      </c>
      <c r="DK42" s="290" t="s">
        <v>124</v>
      </c>
      <c r="DL42" s="290" t="s">
        <v>124</v>
      </c>
      <c r="DM42" s="290" t="s">
        <v>124</v>
      </c>
      <c r="DN42" s="290" t="s">
        <v>124</v>
      </c>
      <c r="DO42" s="290" t="s">
        <v>124</v>
      </c>
      <c r="DP42" s="290" t="s">
        <v>124</v>
      </c>
      <c r="DQ42" s="290" t="s">
        <v>124</v>
      </c>
      <c r="DR42" s="290" t="s">
        <v>124</v>
      </c>
      <c r="DS42" s="290" t="s">
        <v>124</v>
      </c>
      <c r="DT42" s="290" t="s">
        <v>124</v>
      </c>
      <c r="DU42" s="290" t="s">
        <v>124</v>
      </c>
      <c r="DV42" s="290" t="s">
        <v>124</v>
      </c>
      <c r="DW42" s="290" t="s">
        <v>124</v>
      </c>
      <c r="DX42" s="290" t="s">
        <v>124</v>
      </c>
      <c r="DY42" s="290" t="s">
        <v>124</v>
      </c>
      <c r="DZ42" s="290" t="s">
        <v>124</v>
      </c>
      <c r="EA42" s="290" t="s">
        <v>124</v>
      </c>
      <c r="EB42" s="290" t="s">
        <v>124</v>
      </c>
      <c r="EC42" s="290" t="s">
        <v>124</v>
      </c>
      <c r="ED42" s="290" t="s">
        <v>124</v>
      </c>
      <c r="EE42" s="290" t="s">
        <v>124</v>
      </c>
      <c r="EF42" s="290" t="s">
        <v>124</v>
      </c>
      <c r="EG42" s="290" t="s">
        <v>124</v>
      </c>
      <c r="EH42" s="290" t="s">
        <v>124</v>
      </c>
      <c r="EI42" s="290" t="s">
        <v>124</v>
      </c>
      <c r="EJ42" s="290" t="s">
        <v>124</v>
      </c>
      <c r="EK42" s="290" t="s">
        <v>124</v>
      </c>
      <c r="EL42" s="290" t="s">
        <v>124</v>
      </c>
      <c r="EM42" s="290" t="s">
        <v>124</v>
      </c>
      <c r="EN42" s="290" t="s">
        <v>124</v>
      </c>
      <c r="EO42" s="290" t="s">
        <v>124</v>
      </c>
      <c r="EP42" s="290" t="s">
        <v>124</v>
      </c>
      <c r="EQ42" s="290" t="s">
        <v>124</v>
      </c>
      <c r="ER42" s="290" t="s">
        <v>124</v>
      </c>
      <c r="ES42" s="290" t="s">
        <v>124</v>
      </c>
      <c r="ET42" s="290" t="s">
        <v>124</v>
      </c>
      <c r="EU42" s="294" t="s">
        <v>124</v>
      </c>
      <c r="EV42" s="286" t="s">
        <v>1114</v>
      </c>
      <c r="EW42" s="286" t="s">
        <v>1115</v>
      </c>
      <c r="EX42" s="286" t="s">
        <v>1116</v>
      </c>
      <c r="EY42" s="286" t="s">
        <v>1117</v>
      </c>
      <c r="EZ42" s="286" t="s">
        <v>68</v>
      </c>
      <c r="FA42" s="286" t="s">
        <v>68</v>
      </c>
      <c r="FB42" s="286" t="s">
        <v>68</v>
      </c>
      <c r="FC42" s="286" t="s">
        <v>68</v>
      </c>
      <c r="FD42" s="286" t="s">
        <v>1118</v>
      </c>
    </row>
    <row r="43" spans="2:160" s="6" customFormat="1" ht="13.5" customHeight="1" outlineLevel="4" x14ac:dyDescent="0.35">
      <c r="B43" s="295" t="s">
        <v>126</v>
      </c>
      <c r="C43" s="287" t="s">
        <v>134</v>
      </c>
      <c r="D43" s="287" t="s">
        <v>161</v>
      </c>
      <c r="E43" s="287" t="s">
        <v>164</v>
      </c>
      <c r="F43" s="287" t="s">
        <v>159</v>
      </c>
      <c r="G43" s="287" t="s">
        <v>166</v>
      </c>
      <c r="H43" s="296" t="s">
        <v>168</v>
      </c>
      <c r="I43" s="296" t="s">
        <v>158</v>
      </c>
      <c r="J43" s="288" t="s">
        <v>158</v>
      </c>
      <c r="K43" s="287" t="s">
        <v>158</v>
      </c>
      <c r="L43" s="289" t="s">
        <v>158</v>
      </c>
      <c r="M43" s="289" t="s">
        <v>158</v>
      </c>
      <c r="N43" s="289" t="s">
        <v>158</v>
      </c>
      <c r="O43" s="289" t="s">
        <v>158</v>
      </c>
      <c r="P43" s="290">
        <f t="shared" si="0"/>
        <v>0</v>
      </c>
      <c r="Q43" s="290" t="s">
        <v>67</v>
      </c>
      <c r="R43" s="290" t="s">
        <v>124</v>
      </c>
      <c r="S43" s="286" t="s">
        <v>156</v>
      </c>
      <c r="T43" s="286" t="s">
        <v>91</v>
      </c>
      <c r="U43" s="291" t="s">
        <v>57</v>
      </c>
      <c r="V43" s="292"/>
      <c r="W43" s="293"/>
      <c r="X43" s="293"/>
      <c r="Y43" s="293"/>
      <c r="Z43" s="293"/>
      <c r="AA43" s="293" t="s">
        <v>1151</v>
      </c>
      <c r="AB43" s="293"/>
      <c r="AC43" s="293"/>
      <c r="AD43" s="293"/>
      <c r="AE43" s="293"/>
      <c r="AF43" s="293"/>
      <c r="AG43" s="293"/>
      <c r="AH43" s="286" t="s">
        <v>209</v>
      </c>
      <c r="AI43" s="290" t="s">
        <v>124</v>
      </c>
      <c r="AJ43" s="290" t="s">
        <v>124</v>
      </c>
      <c r="AK43" s="290" t="s">
        <v>124</v>
      </c>
      <c r="AL43" s="290" t="s">
        <v>124</v>
      </c>
      <c r="AM43" s="290" t="s">
        <v>124</v>
      </c>
      <c r="AN43" s="290" t="s">
        <v>124</v>
      </c>
      <c r="AO43" s="290" t="s">
        <v>124</v>
      </c>
      <c r="AP43" s="290" t="s">
        <v>124</v>
      </c>
      <c r="AQ43" s="290" t="s">
        <v>124</v>
      </c>
      <c r="AR43" s="290" t="s">
        <v>124</v>
      </c>
      <c r="AS43" s="290" t="s">
        <v>124</v>
      </c>
      <c r="AT43" s="290" t="s">
        <v>124</v>
      </c>
      <c r="AU43" s="290" t="s">
        <v>124</v>
      </c>
      <c r="AV43" s="290" t="s">
        <v>124</v>
      </c>
      <c r="AW43" s="290" t="s">
        <v>124</v>
      </c>
      <c r="AX43" s="290" t="s">
        <v>124</v>
      </c>
      <c r="AY43" s="290" t="s">
        <v>124</v>
      </c>
      <c r="AZ43" s="290" t="s">
        <v>124</v>
      </c>
      <c r="BA43" s="290" t="s">
        <v>124</v>
      </c>
      <c r="BB43" s="290" t="s">
        <v>124</v>
      </c>
      <c r="BC43" s="290" t="s">
        <v>124</v>
      </c>
      <c r="BD43" s="290" t="s">
        <v>124</v>
      </c>
      <c r="BE43" s="290" t="s">
        <v>124</v>
      </c>
      <c r="BF43" s="290" t="s">
        <v>124</v>
      </c>
      <c r="BG43" s="290" t="s">
        <v>124</v>
      </c>
      <c r="BH43" s="290" t="s">
        <v>67</v>
      </c>
      <c r="BI43" s="290" t="s">
        <v>67</v>
      </c>
      <c r="BJ43" s="290" t="s">
        <v>67</v>
      </c>
      <c r="BK43" s="290" t="s">
        <v>124</v>
      </c>
      <c r="BL43" s="290" t="s">
        <v>124</v>
      </c>
      <c r="BM43" s="290" t="s">
        <v>124</v>
      </c>
      <c r="BN43" s="290" t="s">
        <v>124</v>
      </c>
      <c r="BO43" s="290" t="s">
        <v>124</v>
      </c>
      <c r="BP43" s="290" t="s">
        <v>124</v>
      </c>
      <c r="BQ43" s="290" t="s">
        <v>124</v>
      </c>
      <c r="BR43" s="290" t="s">
        <v>124</v>
      </c>
      <c r="BS43" s="290" t="s">
        <v>124</v>
      </c>
      <c r="BT43" s="290" t="s">
        <v>124</v>
      </c>
      <c r="BU43" s="290" t="s">
        <v>124</v>
      </c>
      <c r="BV43" s="290" t="s">
        <v>124</v>
      </c>
      <c r="BW43" s="290" t="s">
        <v>124</v>
      </c>
      <c r="BX43" s="290" t="s">
        <v>124</v>
      </c>
      <c r="BY43" s="290" t="s">
        <v>124</v>
      </c>
      <c r="BZ43" s="290" t="s">
        <v>124</v>
      </c>
      <c r="CA43" s="290" t="s">
        <v>124</v>
      </c>
      <c r="CB43" s="290" t="s">
        <v>124</v>
      </c>
      <c r="CC43" s="290" t="s">
        <v>124</v>
      </c>
      <c r="CD43" s="290" t="s">
        <v>124</v>
      </c>
      <c r="CE43" s="290" t="s">
        <v>124</v>
      </c>
      <c r="CF43" s="290" t="s">
        <v>124</v>
      </c>
      <c r="CG43" s="290" t="s">
        <v>124</v>
      </c>
      <c r="CH43" s="290" t="s">
        <v>124</v>
      </c>
      <c r="CI43" s="290" t="s">
        <v>124</v>
      </c>
      <c r="CJ43" s="290" t="s">
        <v>124</v>
      </c>
      <c r="CK43" s="290" t="s">
        <v>124</v>
      </c>
      <c r="CL43" s="290" t="s">
        <v>124</v>
      </c>
      <c r="CM43" s="290" t="s">
        <v>124</v>
      </c>
      <c r="CN43" s="290" t="s">
        <v>124</v>
      </c>
      <c r="CO43" s="290" t="s">
        <v>124</v>
      </c>
      <c r="CP43" s="290" t="s">
        <v>124</v>
      </c>
      <c r="CQ43" s="290" t="s">
        <v>124</v>
      </c>
      <c r="CR43" s="290" t="s">
        <v>124</v>
      </c>
      <c r="CS43" s="290" t="s">
        <v>124</v>
      </c>
      <c r="CT43" s="290" t="s">
        <v>124</v>
      </c>
      <c r="CU43" s="290" t="s">
        <v>124</v>
      </c>
      <c r="CV43" s="290" t="s">
        <v>124</v>
      </c>
      <c r="CW43" s="290" t="s">
        <v>124</v>
      </c>
      <c r="CX43" s="290" t="s">
        <v>124</v>
      </c>
      <c r="CY43" s="290" t="s">
        <v>124</v>
      </c>
      <c r="CZ43" s="290" t="s">
        <v>124</v>
      </c>
      <c r="DA43" s="290" t="s">
        <v>124</v>
      </c>
      <c r="DB43" s="290" t="s">
        <v>124</v>
      </c>
      <c r="DC43" s="290" t="s">
        <v>124</v>
      </c>
      <c r="DD43" s="290" t="s">
        <v>124</v>
      </c>
      <c r="DE43" s="290" t="s">
        <v>124</v>
      </c>
      <c r="DF43" s="290" t="s">
        <v>124</v>
      </c>
      <c r="DG43" s="290" t="s">
        <v>124</v>
      </c>
      <c r="DH43" s="290" t="s">
        <v>124</v>
      </c>
      <c r="DI43" s="290" t="s">
        <v>124</v>
      </c>
      <c r="DJ43" s="290" t="s">
        <v>124</v>
      </c>
      <c r="DK43" s="290" t="s">
        <v>124</v>
      </c>
      <c r="DL43" s="290" t="s">
        <v>124</v>
      </c>
      <c r="DM43" s="290" t="s">
        <v>124</v>
      </c>
      <c r="DN43" s="290" t="s">
        <v>124</v>
      </c>
      <c r="DO43" s="290" t="s">
        <v>124</v>
      </c>
      <c r="DP43" s="290" t="s">
        <v>124</v>
      </c>
      <c r="DQ43" s="290" t="s">
        <v>124</v>
      </c>
      <c r="DR43" s="290" t="s">
        <v>124</v>
      </c>
      <c r="DS43" s="290" t="s">
        <v>124</v>
      </c>
      <c r="DT43" s="290" t="s">
        <v>124</v>
      </c>
      <c r="DU43" s="290" t="s">
        <v>124</v>
      </c>
      <c r="DV43" s="290" t="s">
        <v>124</v>
      </c>
      <c r="DW43" s="290" t="s">
        <v>124</v>
      </c>
      <c r="DX43" s="290" t="s">
        <v>124</v>
      </c>
      <c r="DY43" s="290" t="s">
        <v>124</v>
      </c>
      <c r="DZ43" s="290" t="s">
        <v>124</v>
      </c>
      <c r="EA43" s="290" t="s">
        <v>124</v>
      </c>
      <c r="EB43" s="290" t="s">
        <v>124</v>
      </c>
      <c r="EC43" s="290" t="s">
        <v>124</v>
      </c>
      <c r="ED43" s="290" t="s">
        <v>124</v>
      </c>
      <c r="EE43" s="290" t="s">
        <v>124</v>
      </c>
      <c r="EF43" s="290" t="s">
        <v>124</v>
      </c>
      <c r="EG43" s="290" t="s">
        <v>124</v>
      </c>
      <c r="EH43" s="290" t="s">
        <v>124</v>
      </c>
      <c r="EI43" s="290" t="s">
        <v>124</v>
      </c>
      <c r="EJ43" s="290" t="s">
        <v>124</v>
      </c>
      <c r="EK43" s="290" t="s">
        <v>124</v>
      </c>
      <c r="EL43" s="290" t="s">
        <v>124</v>
      </c>
      <c r="EM43" s="290" t="s">
        <v>124</v>
      </c>
      <c r="EN43" s="290" t="s">
        <v>124</v>
      </c>
      <c r="EO43" s="290" t="s">
        <v>124</v>
      </c>
      <c r="EP43" s="290" t="s">
        <v>124</v>
      </c>
      <c r="EQ43" s="290" t="s">
        <v>124</v>
      </c>
      <c r="ER43" s="290" t="s">
        <v>124</v>
      </c>
      <c r="ES43" s="290" t="s">
        <v>124</v>
      </c>
      <c r="ET43" s="290" t="s">
        <v>124</v>
      </c>
      <c r="EU43" s="294" t="s">
        <v>124</v>
      </c>
      <c r="EV43" s="286" t="s">
        <v>1114</v>
      </c>
      <c r="EW43" s="286" t="s">
        <v>1115</v>
      </c>
      <c r="EX43" s="286" t="s">
        <v>1116</v>
      </c>
      <c r="EY43" s="286" t="s">
        <v>1117</v>
      </c>
      <c r="EZ43" s="286" t="s">
        <v>68</v>
      </c>
      <c r="FA43" s="286" t="s">
        <v>68</v>
      </c>
      <c r="FB43" s="286" t="s">
        <v>68</v>
      </c>
      <c r="FC43" s="286" t="s">
        <v>68</v>
      </c>
      <c r="FD43" s="286" t="s">
        <v>1118</v>
      </c>
    </row>
    <row r="44" spans="2:160" s="6" customFormat="1" ht="13.5" customHeight="1" outlineLevel="4" x14ac:dyDescent="0.35">
      <c r="B44" s="295" t="s">
        <v>126</v>
      </c>
      <c r="C44" s="287" t="s">
        <v>134</v>
      </c>
      <c r="D44" s="287" t="s">
        <v>161</v>
      </c>
      <c r="E44" s="287" t="s">
        <v>164</v>
      </c>
      <c r="F44" s="287" t="s">
        <v>159</v>
      </c>
      <c r="G44" s="287" t="s">
        <v>166</v>
      </c>
      <c r="H44" s="296" t="s">
        <v>169</v>
      </c>
      <c r="I44" s="296" t="s">
        <v>158</v>
      </c>
      <c r="J44" s="288" t="s">
        <v>158</v>
      </c>
      <c r="K44" s="287" t="s">
        <v>158</v>
      </c>
      <c r="L44" s="289" t="s">
        <v>158</v>
      </c>
      <c r="M44" s="289" t="s">
        <v>158</v>
      </c>
      <c r="N44" s="289" t="s">
        <v>158</v>
      </c>
      <c r="O44" s="289" t="s">
        <v>158</v>
      </c>
      <c r="P44" s="290">
        <f t="shared" si="0"/>
        <v>0</v>
      </c>
      <c r="Q44" s="290" t="s">
        <v>67</v>
      </c>
      <c r="R44" s="290" t="s">
        <v>124</v>
      </c>
      <c r="S44" s="286" t="s">
        <v>156</v>
      </c>
      <c r="T44" s="286" t="s">
        <v>91</v>
      </c>
      <c r="U44" s="291" t="s">
        <v>59</v>
      </c>
      <c r="V44" s="292"/>
      <c r="W44" s="293"/>
      <c r="X44" s="293"/>
      <c r="Y44" s="293"/>
      <c r="Z44" s="293"/>
      <c r="AA44" s="293" t="s">
        <v>1152</v>
      </c>
      <c r="AB44" s="293"/>
      <c r="AC44" s="293"/>
      <c r="AD44" s="293"/>
      <c r="AE44" s="293"/>
      <c r="AF44" s="293"/>
      <c r="AG44" s="293"/>
      <c r="AH44" s="286" t="s">
        <v>210</v>
      </c>
      <c r="AI44" s="290" t="s">
        <v>124</v>
      </c>
      <c r="AJ44" s="290" t="s">
        <v>124</v>
      </c>
      <c r="AK44" s="290" t="s">
        <v>124</v>
      </c>
      <c r="AL44" s="290" t="s">
        <v>124</v>
      </c>
      <c r="AM44" s="290" t="s">
        <v>124</v>
      </c>
      <c r="AN44" s="290" t="s">
        <v>124</v>
      </c>
      <c r="AO44" s="290" t="s">
        <v>124</v>
      </c>
      <c r="AP44" s="290" t="s">
        <v>124</v>
      </c>
      <c r="AQ44" s="290" t="s">
        <v>124</v>
      </c>
      <c r="AR44" s="290" t="s">
        <v>124</v>
      </c>
      <c r="AS44" s="290" t="s">
        <v>124</v>
      </c>
      <c r="AT44" s="290" t="s">
        <v>124</v>
      </c>
      <c r="AU44" s="290" t="s">
        <v>124</v>
      </c>
      <c r="AV44" s="290" t="s">
        <v>124</v>
      </c>
      <c r="AW44" s="290" t="s">
        <v>124</v>
      </c>
      <c r="AX44" s="290" t="s">
        <v>124</v>
      </c>
      <c r="AY44" s="290" t="s">
        <v>124</v>
      </c>
      <c r="AZ44" s="290" t="s">
        <v>124</v>
      </c>
      <c r="BA44" s="290" t="s">
        <v>124</v>
      </c>
      <c r="BB44" s="290" t="s">
        <v>124</v>
      </c>
      <c r="BC44" s="290" t="s">
        <v>124</v>
      </c>
      <c r="BD44" s="290" t="s">
        <v>124</v>
      </c>
      <c r="BE44" s="290" t="s">
        <v>124</v>
      </c>
      <c r="BF44" s="290" t="s">
        <v>124</v>
      </c>
      <c r="BG44" s="290" t="s">
        <v>124</v>
      </c>
      <c r="BH44" s="290" t="s">
        <v>67</v>
      </c>
      <c r="BI44" s="290" t="s">
        <v>67</v>
      </c>
      <c r="BJ44" s="290" t="s">
        <v>67</v>
      </c>
      <c r="BK44" s="290" t="s">
        <v>124</v>
      </c>
      <c r="BL44" s="290" t="s">
        <v>124</v>
      </c>
      <c r="BM44" s="290" t="s">
        <v>124</v>
      </c>
      <c r="BN44" s="290" t="s">
        <v>124</v>
      </c>
      <c r="BO44" s="290" t="s">
        <v>124</v>
      </c>
      <c r="BP44" s="290" t="s">
        <v>124</v>
      </c>
      <c r="BQ44" s="290" t="s">
        <v>124</v>
      </c>
      <c r="BR44" s="290" t="s">
        <v>124</v>
      </c>
      <c r="BS44" s="290" t="s">
        <v>124</v>
      </c>
      <c r="BT44" s="290" t="s">
        <v>124</v>
      </c>
      <c r="BU44" s="290" t="s">
        <v>124</v>
      </c>
      <c r="BV44" s="290" t="s">
        <v>124</v>
      </c>
      <c r="BW44" s="290" t="s">
        <v>124</v>
      </c>
      <c r="BX44" s="290" t="s">
        <v>124</v>
      </c>
      <c r="BY44" s="290" t="s">
        <v>124</v>
      </c>
      <c r="BZ44" s="290" t="s">
        <v>124</v>
      </c>
      <c r="CA44" s="290" t="s">
        <v>124</v>
      </c>
      <c r="CB44" s="290" t="s">
        <v>124</v>
      </c>
      <c r="CC44" s="290" t="s">
        <v>124</v>
      </c>
      <c r="CD44" s="290" t="s">
        <v>124</v>
      </c>
      <c r="CE44" s="290" t="s">
        <v>124</v>
      </c>
      <c r="CF44" s="290" t="s">
        <v>124</v>
      </c>
      <c r="CG44" s="290" t="s">
        <v>124</v>
      </c>
      <c r="CH44" s="290" t="s">
        <v>124</v>
      </c>
      <c r="CI44" s="290" t="s">
        <v>124</v>
      </c>
      <c r="CJ44" s="290" t="s">
        <v>124</v>
      </c>
      <c r="CK44" s="290" t="s">
        <v>124</v>
      </c>
      <c r="CL44" s="290" t="s">
        <v>124</v>
      </c>
      <c r="CM44" s="290" t="s">
        <v>124</v>
      </c>
      <c r="CN44" s="290" t="s">
        <v>124</v>
      </c>
      <c r="CO44" s="290" t="s">
        <v>124</v>
      </c>
      <c r="CP44" s="290" t="s">
        <v>124</v>
      </c>
      <c r="CQ44" s="290" t="s">
        <v>124</v>
      </c>
      <c r="CR44" s="290" t="s">
        <v>124</v>
      </c>
      <c r="CS44" s="290" t="s">
        <v>124</v>
      </c>
      <c r="CT44" s="290" t="s">
        <v>124</v>
      </c>
      <c r="CU44" s="290" t="s">
        <v>124</v>
      </c>
      <c r="CV44" s="290" t="s">
        <v>124</v>
      </c>
      <c r="CW44" s="290" t="s">
        <v>124</v>
      </c>
      <c r="CX44" s="290" t="s">
        <v>124</v>
      </c>
      <c r="CY44" s="290" t="s">
        <v>124</v>
      </c>
      <c r="CZ44" s="290" t="s">
        <v>124</v>
      </c>
      <c r="DA44" s="290" t="s">
        <v>124</v>
      </c>
      <c r="DB44" s="290" t="s">
        <v>124</v>
      </c>
      <c r="DC44" s="290" t="s">
        <v>124</v>
      </c>
      <c r="DD44" s="290" t="s">
        <v>124</v>
      </c>
      <c r="DE44" s="290" t="s">
        <v>124</v>
      </c>
      <c r="DF44" s="290" t="s">
        <v>124</v>
      </c>
      <c r="DG44" s="290" t="s">
        <v>124</v>
      </c>
      <c r="DH44" s="290" t="s">
        <v>124</v>
      </c>
      <c r="DI44" s="290" t="s">
        <v>124</v>
      </c>
      <c r="DJ44" s="290" t="s">
        <v>124</v>
      </c>
      <c r="DK44" s="290" t="s">
        <v>124</v>
      </c>
      <c r="DL44" s="290" t="s">
        <v>124</v>
      </c>
      <c r="DM44" s="290" t="s">
        <v>124</v>
      </c>
      <c r="DN44" s="290" t="s">
        <v>124</v>
      </c>
      <c r="DO44" s="290" t="s">
        <v>124</v>
      </c>
      <c r="DP44" s="290" t="s">
        <v>124</v>
      </c>
      <c r="DQ44" s="290" t="s">
        <v>124</v>
      </c>
      <c r="DR44" s="290" t="s">
        <v>124</v>
      </c>
      <c r="DS44" s="290" t="s">
        <v>124</v>
      </c>
      <c r="DT44" s="290" t="s">
        <v>124</v>
      </c>
      <c r="DU44" s="290" t="s">
        <v>124</v>
      </c>
      <c r="DV44" s="290" t="s">
        <v>124</v>
      </c>
      <c r="DW44" s="290" t="s">
        <v>124</v>
      </c>
      <c r="DX44" s="290" t="s">
        <v>124</v>
      </c>
      <c r="DY44" s="290" t="s">
        <v>124</v>
      </c>
      <c r="DZ44" s="290" t="s">
        <v>124</v>
      </c>
      <c r="EA44" s="290" t="s">
        <v>124</v>
      </c>
      <c r="EB44" s="290" t="s">
        <v>124</v>
      </c>
      <c r="EC44" s="290" t="s">
        <v>124</v>
      </c>
      <c r="ED44" s="290" t="s">
        <v>124</v>
      </c>
      <c r="EE44" s="290" t="s">
        <v>124</v>
      </c>
      <c r="EF44" s="290" t="s">
        <v>124</v>
      </c>
      <c r="EG44" s="290" t="s">
        <v>124</v>
      </c>
      <c r="EH44" s="290" t="s">
        <v>124</v>
      </c>
      <c r="EI44" s="290" t="s">
        <v>124</v>
      </c>
      <c r="EJ44" s="290" t="s">
        <v>124</v>
      </c>
      <c r="EK44" s="290" t="s">
        <v>124</v>
      </c>
      <c r="EL44" s="290" t="s">
        <v>124</v>
      </c>
      <c r="EM44" s="290" t="s">
        <v>124</v>
      </c>
      <c r="EN44" s="290" t="s">
        <v>124</v>
      </c>
      <c r="EO44" s="290" t="s">
        <v>124</v>
      </c>
      <c r="EP44" s="290" t="s">
        <v>124</v>
      </c>
      <c r="EQ44" s="290" t="s">
        <v>124</v>
      </c>
      <c r="ER44" s="290" t="s">
        <v>124</v>
      </c>
      <c r="ES44" s="290" t="s">
        <v>124</v>
      </c>
      <c r="ET44" s="290" t="s">
        <v>124</v>
      </c>
      <c r="EU44" s="294" t="s">
        <v>124</v>
      </c>
      <c r="EV44" s="286" t="s">
        <v>1114</v>
      </c>
      <c r="EW44" s="286" t="s">
        <v>1115</v>
      </c>
      <c r="EX44" s="286" t="s">
        <v>1116</v>
      </c>
      <c r="EY44" s="286" t="s">
        <v>1117</v>
      </c>
      <c r="EZ44" s="286" t="s">
        <v>68</v>
      </c>
      <c r="FA44" s="286" t="s">
        <v>68</v>
      </c>
      <c r="FB44" s="286" t="s">
        <v>68</v>
      </c>
      <c r="FC44" s="286" t="s">
        <v>68</v>
      </c>
      <c r="FD44" s="286" t="s">
        <v>1118</v>
      </c>
    </row>
    <row r="45" spans="2:160" s="6" customFormat="1" ht="13.5" customHeight="1" outlineLevel="4" x14ac:dyDescent="0.35">
      <c r="B45" s="295" t="s">
        <v>126</v>
      </c>
      <c r="C45" s="287" t="s">
        <v>134</v>
      </c>
      <c r="D45" s="287" t="s">
        <v>161</v>
      </c>
      <c r="E45" s="287" t="s">
        <v>164</v>
      </c>
      <c r="F45" s="287" t="s">
        <v>159</v>
      </c>
      <c r="G45" s="287" t="s">
        <v>166</v>
      </c>
      <c r="H45" s="296" t="s">
        <v>170</v>
      </c>
      <c r="I45" s="296" t="s">
        <v>158</v>
      </c>
      <c r="J45" s="288" t="s">
        <v>158</v>
      </c>
      <c r="K45" s="287" t="s">
        <v>158</v>
      </c>
      <c r="L45" s="289" t="s">
        <v>158</v>
      </c>
      <c r="M45" s="289" t="s">
        <v>158</v>
      </c>
      <c r="N45" s="289" t="s">
        <v>158</v>
      </c>
      <c r="O45" s="289" t="s">
        <v>158</v>
      </c>
      <c r="P45" s="290">
        <f t="shared" si="0"/>
        <v>0</v>
      </c>
      <c r="Q45" s="290" t="s">
        <v>67</v>
      </c>
      <c r="R45" s="290" t="s">
        <v>124</v>
      </c>
      <c r="S45" s="286" t="s">
        <v>156</v>
      </c>
      <c r="T45" s="286" t="s">
        <v>91</v>
      </c>
      <c r="U45" s="291" t="s">
        <v>61</v>
      </c>
      <c r="V45" s="292"/>
      <c r="W45" s="293"/>
      <c r="X45" s="293"/>
      <c r="Y45" s="293"/>
      <c r="Z45" s="293"/>
      <c r="AA45" s="293" t="s">
        <v>1153</v>
      </c>
      <c r="AB45" s="293"/>
      <c r="AC45" s="293"/>
      <c r="AD45" s="293"/>
      <c r="AE45" s="293"/>
      <c r="AF45" s="293"/>
      <c r="AG45" s="293"/>
      <c r="AH45" s="286" t="s">
        <v>211</v>
      </c>
      <c r="AI45" s="290" t="s">
        <v>124</v>
      </c>
      <c r="AJ45" s="290" t="s">
        <v>124</v>
      </c>
      <c r="AK45" s="290" t="s">
        <v>124</v>
      </c>
      <c r="AL45" s="290" t="s">
        <v>124</v>
      </c>
      <c r="AM45" s="290" t="s">
        <v>124</v>
      </c>
      <c r="AN45" s="290" t="s">
        <v>124</v>
      </c>
      <c r="AO45" s="290" t="s">
        <v>124</v>
      </c>
      <c r="AP45" s="290" t="s">
        <v>124</v>
      </c>
      <c r="AQ45" s="290" t="s">
        <v>124</v>
      </c>
      <c r="AR45" s="290" t="s">
        <v>124</v>
      </c>
      <c r="AS45" s="290" t="s">
        <v>124</v>
      </c>
      <c r="AT45" s="290" t="s">
        <v>124</v>
      </c>
      <c r="AU45" s="290" t="s">
        <v>124</v>
      </c>
      <c r="AV45" s="290" t="s">
        <v>124</v>
      </c>
      <c r="AW45" s="290" t="s">
        <v>124</v>
      </c>
      <c r="AX45" s="290" t="s">
        <v>124</v>
      </c>
      <c r="AY45" s="290" t="s">
        <v>124</v>
      </c>
      <c r="AZ45" s="290" t="s">
        <v>124</v>
      </c>
      <c r="BA45" s="290" t="s">
        <v>124</v>
      </c>
      <c r="BB45" s="290" t="s">
        <v>124</v>
      </c>
      <c r="BC45" s="290" t="s">
        <v>124</v>
      </c>
      <c r="BD45" s="290" t="s">
        <v>124</v>
      </c>
      <c r="BE45" s="290" t="s">
        <v>124</v>
      </c>
      <c r="BF45" s="290" t="s">
        <v>124</v>
      </c>
      <c r="BG45" s="290" t="s">
        <v>124</v>
      </c>
      <c r="BH45" s="290" t="s">
        <v>67</v>
      </c>
      <c r="BI45" s="290" t="s">
        <v>67</v>
      </c>
      <c r="BJ45" s="290" t="s">
        <v>67</v>
      </c>
      <c r="BK45" s="290" t="s">
        <v>124</v>
      </c>
      <c r="BL45" s="290" t="s">
        <v>124</v>
      </c>
      <c r="BM45" s="290" t="s">
        <v>124</v>
      </c>
      <c r="BN45" s="290" t="s">
        <v>124</v>
      </c>
      <c r="BO45" s="290" t="s">
        <v>124</v>
      </c>
      <c r="BP45" s="290" t="s">
        <v>124</v>
      </c>
      <c r="BQ45" s="290" t="s">
        <v>124</v>
      </c>
      <c r="BR45" s="290" t="s">
        <v>124</v>
      </c>
      <c r="BS45" s="290" t="s">
        <v>124</v>
      </c>
      <c r="BT45" s="290" t="s">
        <v>124</v>
      </c>
      <c r="BU45" s="290" t="s">
        <v>124</v>
      </c>
      <c r="BV45" s="290" t="s">
        <v>124</v>
      </c>
      <c r="BW45" s="290" t="s">
        <v>124</v>
      </c>
      <c r="BX45" s="290" t="s">
        <v>124</v>
      </c>
      <c r="BY45" s="290" t="s">
        <v>124</v>
      </c>
      <c r="BZ45" s="290" t="s">
        <v>124</v>
      </c>
      <c r="CA45" s="290" t="s">
        <v>124</v>
      </c>
      <c r="CB45" s="290" t="s">
        <v>124</v>
      </c>
      <c r="CC45" s="290" t="s">
        <v>124</v>
      </c>
      <c r="CD45" s="290" t="s">
        <v>124</v>
      </c>
      <c r="CE45" s="290" t="s">
        <v>124</v>
      </c>
      <c r="CF45" s="290" t="s">
        <v>124</v>
      </c>
      <c r="CG45" s="290" t="s">
        <v>124</v>
      </c>
      <c r="CH45" s="290" t="s">
        <v>124</v>
      </c>
      <c r="CI45" s="290" t="s">
        <v>124</v>
      </c>
      <c r="CJ45" s="290" t="s">
        <v>124</v>
      </c>
      <c r="CK45" s="290" t="s">
        <v>124</v>
      </c>
      <c r="CL45" s="290" t="s">
        <v>124</v>
      </c>
      <c r="CM45" s="290" t="s">
        <v>124</v>
      </c>
      <c r="CN45" s="290" t="s">
        <v>124</v>
      </c>
      <c r="CO45" s="290" t="s">
        <v>124</v>
      </c>
      <c r="CP45" s="290" t="s">
        <v>124</v>
      </c>
      <c r="CQ45" s="290" t="s">
        <v>124</v>
      </c>
      <c r="CR45" s="290" t="s">
        <v>124</v>
      </c>
      <c r="CS45" s="290" t="s">
        <v>124</v>
      </c>
      <c r="CT45" s="290" t="s">
        <v>124</v>
      </c>
      <c r="CU45" s="290" t="s">
        <v>124</v>
      </c>
      <c r="CV45" s="290" t="s">
        <v>124</v>
      </c>
      <c r="CW45" s="290" t="s">
        <v>124</v>
      </c>
      <c r="CX45" s="290" t="s">
        <v>124</v>
      </c>
      <c r="CY45" s="290" t="s">
        <v>124</v>
      </c>
      <c r="CZ45" s="290" t="s">
        <v>124</v>
      </c>
      <c r="DA45" s="290" t="s">
        <v>124</v>
      </c>
      <c r="DB45" s="290" t="s">
        <v>124</v>
      </c>
      <c r="DC45" s="290" t="s">
        <v>124</v>
      </c>
      <c r="DD45" s="290" t="s">
        <v>124</v>
      </c>
      <c r="DE45" s="290" t="s">
        <v>124</v>
      </c>
      <c r="DF45" s="290" t="s">
        <v>124</v>
      </c>
      <c r="DG45" s="290" t="s">
        <v>124</v>
      </c>
      <c r="DH45" s="290" t="s">
        <v>124</v>
      </c>
      <c r="DI45" s="290" t="s">
        <v>124</v>
      </c>
      <c r="DJ45" s="290" t="s">
        <v>124</v>
      </c>
      <c r="DK45" s="290" t="s">
        <v>124</v>
      </c>
      <c r="DL45" s="290" t="s">
        <v>124</v>
      </c>
      <c r="DM45" s="290" t="s">
        <v>124</v>
      </c>
      <c r="DN45" s="290" t="s">
        <v>124</v>
      </c>
      <c r="DO45" s="290" t="s">
        <v>124</v>
      </c>
      <c r="DP45" s="290" t="s">
        <v>124</v>
      </c>
      <c r="DQ45" s="290" t="s">
        <v>124</v>
      </c>
      <c r="DR45" s="290" t="s">
        <v>124</v>
      </c>
      <c r="DS45" s="290" t="s">
        <v>124</v>
      </c>
      <c r="DT45" s="290" t="s">
        <v>124</v>
      </c>
      <c r="DU45" s="290" t="s">
        <v>124</v>
      </c>
      <c r="DV45" s="290" t="s">
        <v>124</v>
      </c>
      <c r="DW45" s="290" t="s">
        <v>124</v>
      </c>
      <c r="DX45" s="290" t="s">
        <v>124</v>
      </c>
      <c r="DY45" s="290" t="s">
        <v>124</v>
      </c>
      <c r="DZ45" s="290" t="s">
        <v>124</v>
      </c>
      <c r="EA45" s="290" t="s">
        <v>124</v>
      </c>
      <c r="EB45" s="290" t="s">
        <v>124</v>
      </c>
      <c r="EC45" s="290" t="s">
        <v>124</v>
      </c>
      <c r="ED45" s="290" t="s">
        <v>124</v>
      </c>
      <c r="EE45" s="290" t="s">
        <v>124</v>
      </c>
      <c r="EF45" s="290" t="s">
        <v>124</v>
      </c>
      <c r="EG45" s="290" t="s">
        <v>124</v>
      </c>
      <c r="EH45" s="290" t="s">
        <v>124</v>
      </c>
      <c r="EI45" s="290" t="s">
        <v>124</v>
      </c>
      <c r="EJ45" s="290" t="s">
        <v>124</v>
      </c>
      <c r="EK45" s="290" t="s">
        <v>124</v>
      </c>
      <c r="EL45" s="290" t="s">
        <v>124</v>
      </c>
      <c r="EM45" s="290" t="s">
        <v>124</v>
      </c>
      <c r="EN45" s="290" t="s">
        <v>124</v>
      </c>
      <c r="EO45" s="290" t="s">
        <v>124</v>
      </c>
      <c r="EP45" s="290" t="s">
        <v>124</v>
      </c>
      <c r="EQ45" s="290" t="s">
        <v>124</v>
      </c>
      <c r="ER45" s="290" t="s">
        <v>124</v>
      </c>
      <c r="ES45" s="290" t="s">
        <v>124</v>
      </c>
      <c r="ET45" s="290" t="s">
        <v>124</v>
      </c>
      <c r="EU45" s="294" t="s">
        <v>124</v>
      </c>
      <c r="EV45" s="286" t="s">
        <v>1114</v>
      </c>
      <c r="EW45" s="286" t="s">
        <v>1115</v>
      </c>
      <c r="EX45" s="286" t="s">
        <v>1116</v>
      </c>
      <c r="EY45" s="286" t="s">
        <v>1117</v>
      </c>
      <c r="EZ45" s="286" t="s">
        <v>68</v>
      </c>
      <c r="FA45" s="286" t="s">
        <v>68</v>
      </c>
      <c r="FB45" s="286" t="s">
        <v>68</v>
      </c>
      <c r="FC45" s="286" t="s">
        <v>68</v>
      </c>
      <c r="FD45" s="286" t="s">
        <v>1118</v>
      </c>
    </row>
    <row r="46" spans="2:160" s="6" customFormat="1" ht="13.5" customHeight="1" outlineLevel="4" x14ac:dyDescent="0.35">
      <c r="B46" s="295" t="s">
        <v>126</v>
      </c>
      <c r="C46" s="287" t="s">
        <v>134</v>
      </c>
      <c r="D46" s="287" t="s">
        <v>161</v>
      </c>
      <c r="E46" s="287" t="s">
        <v>164</v>
      </c>
      <c r="F46" s="287" t="s">
        <v>159</v>
      </c>
      <c r="G46" s="287" t="s">
        <v>166</v>
      </c>
      <c r="H46" s="296" t="s">
        <v>171</v>
      </c>
      <c r="I46" s="296" t="s">
        <v>158</v>
      </c>
      <c r="J46" s="288" t="s">
        <v>158</v>
      </c>
      <c r="K46" s="287" t="s">
        <v>158</v>
      </c>
      <c r="L46" s="289" t="s">
        <v>158</v>
      </c>
      <c r="M46" s="289" t="s">
        <v>158</v>
      </c>
      <c r="N46" s="289" t="s">
        <v>158</v>
      </c>
      <c r="O46" s="289" t="s">
        <v>158</v>
      </c>
      <c r="P46" s="290">
        <f t="shared" si="0"/>
        <v>0</v>
      </c>
      <c r="Q46" s="290" t="s">
        <v>67</v>
      </c>
      <c r="R46" s="290" t="s">
        <v>124</v>
      </c>
      <c r="S46" s="286" t="s">
        <v>156</v>
      </c>
      <c r="T46" s="286" t="s">
        <v>91</v>
      </c>
      <c r="U46" s="291" t="s">
        <v>63</v>
      </c>
      <c r="V46" s="292"/>
      <c r="W46" s="293"/>
      <c r="X46" s="293"/>
      <c r="Y46" s="293"/>
      <c r="Z46" s="293"/>
      <c r="AA46" s="293" t="s">
        <v>1154</v>
      </c>
      <c r="AB46" s="293"/>
      <c r="AC46" s="293"/>
      <c r="AD46" s="293"/>
      <c r="AE46" s="293"/>
      <c r="AF46" s="293"/>
      <c r="AG46" s="293"/>
      <c r="AH46" s="286" t="s">
        <v>212</v>
      </c>
      <c r="AI46" s="290" t="s">
        <v>124</v>
      </c>
      <c r="AJ46" s="290" t="s">
        <v>124</v>
      </c>
      <c r="AK46" s="290" t="s">
        <v>124</v>
      </c>
      <c r="AL46" s="290" t="s">
        <v>124</v>
      </c>
      <c r="AM46" s="290" t="s">
        <v>124</v>
      </c>
      <c r="AN46" s="290" t="s">
        <v>124</v>
      </c>
      <c r="AO46" s="290" t="s">
        <v>124</v>
      </c>
      <c r="AP46" s="290" t="s">
        <v>124</v>
      </c>
      <c r="AQ46" s="290" t="s">
        <v>124</v>
      </c>
      <c r="AR46" s="290" t="s">
        <v>124</v>
      </c>
      <c r="AS46" s="290" t="s">
        <v>124</v>
      </c>
      <c r="AT46" s="290" t="s">
        <v>124</v>
      </c>
      <c r="AU46" s="290" t="s">
        <v>124</v>
      </c>
      <c r="AV46" s="290" t="s">
        <v>124</v>
      </c>
      <c r="AW46" s="290" t="s">
        <v>124</v>
      </c>
      <c r="AX46" s="290" t="s">
        <v>124</v>
      </c>
      <c r="AY46" s="290" t="s">
        <v>124</v>
      </c>
      <c r="AZ46" s="290" t="s">
        <v>124</v>
      </c>
      <c r="BA46" s="290" t="s">
        <v>124</v>
      </c>
      <c r="BB46" s="290" t="s">
        <v>124</v>
      </c>
      <c r="BC46" s="290" t="s">
        <v>124</v>
      </c>
      <c r="BD46" s="290" t="s">
        <v>124</v>
      </c>
      <c r="BE46" s="290" t="s">
        <v>124</v>
      </c>
      <c r="BF46" s="290" t="s">
        <v>124</v>
      </c>
      <c r="BG46" s="290" t="s">
        <v>124</v>
      </c>
      <c r="BH46" s="290" t="s">
        <v>67</v>
      </c>
      <c r="BI46" s="290" t="s">
        <v>67</v>
      </c>
      <c r="BJ46" s="290" t="s">
        <v>67</v>
      </c>
      <c r="BK46" s="290" t="s">
        <v>124</v>
      </c>
      <c r="BL46" s="290" t="s">
        <v>124</v>
      </c>
      <c r="BM46" s="290" t="s">
        <v>124</v>
      </c>
      <c r="BN46" s="290" t="s">
        <v>124</v>
      </c>
      <c r="BO46" s="290" t="s">
        <v>124</v>
      </c>
      <c r="BP46" s="290" t="s">
        <v>124</v>
      </c>
      <c r="BQ46" s="290" t="s">
        <v>124</v>
      </c>
      <c r="BR46" s="290" t="s">
        <v>124</v>
      </c>
      <c r="BS46" s="290" t="s">
        <v>124</v>
      </c>
      <c r="BT46" s="290" t="s">
        <v>124</v>
      </c>
      <c r="BU46" s="290" t="s">
        <v>124</v>
      </c>
      <c r="BV46" s="290" t="s">
        <v>124</v>
      </c>
      <c r="BW46" s="290" t="s">
        <v>124</v>
      </c>
      <c r="BX46" s="290" t="s">
        <v>124</v>
      </c>
      <c r="BY46" s="290" t="s">
        <v>124</v>
      </c>
      <c r="BZ46" s="290" t="s">
        <v>124</v>
      </c>
      <c r="CA46" s="290" t="s">
        <v>124</v>
      </c>
      <c r="CB46" s="290" t="s">
        <v>124</v>
      </c>
      <c r="CC46" s="290" t="s">
        <v>124</v>
      </c>
      <c r="CD46" s="290" t="s">
        <v>124</v>
      </c>
      <c r="CE46" s="290" t="s">
        <v>124</v>
      </c>
      <c r="CF46" s="290" t="s">
        <v>124</v>
      </c>
      <c r="CG46" s="290" t="s">
        <v>124</v>
      </c>
      <c r="CH46" s="290" t="s">
        <v>124</v>
      </c>
      <c r="CI46" s="290" t="s">
        <v>124</v>
      </c>
      <c r="CJ46" s="290" t="s">
        <v>124</v>
      </c>
      <c r="CK46" s="290" t="s">
        <v>124</v>
      </c>
      <c r="CL46" s="290" t="s">
        <v>124</v>
      </c>
      <c r="CM46" s="290" t="s">
        <v>124</v>
      </c>
      <c r="CN46" s="290" t="s">
        <v>124</v>
      </c>
      <c r="CO46" s="290" t="s">
        <v>124</v>
      </c>
      <c r="CP46" s="290" t="s">
        <v>124</v>
      </c>
      <c r="CQ46" s="290" t="s">
        <v>124</v>
      </c>
      <c r="CR46" s="290" t="s">
        <v>124</v>
      </c>
      <c r="CS46" s="290" t="s">
        <v>124</v>
      </c>
      <c r="CT46" s="290" t="s">
        <v>124</v>
      </c>
      <c r="CU46" s="290" t="s">
        <v>124</v>
      </c>
      <c r="CV46" s="290" t="s">
        <v>124</v>
      </c>
      <c r="CW46" s="290" t="s">
        <v>124</v>
      </c>
      <c r="CX46" s="290" t="s">
        <v>124</v>
      </c>
      <c r="CY46" s="290" t="s">
        <v>124</v>
      </c>
      <c r="CZ46" s="290" t="s">
        <v>124</v>
      </c>
      <c r="DA46" s="290" t="s">
        <v>124</v>
      </c>
      <c r="DB46" s="290" t="s">
        <v>124</v>
      </c>
      <c r="DC46" s="290" t="s">
        <v>124</v>
      </c>
      <c r="DD46" s="290" t="s">
        <v>124</v>
      </c>
      <c r="DE46" s="290" t="s">
        <v>124</v>
      </c>
      <c r="DF46" s="290" t="s">
        <v>124</v>
      </c>
      <c r="DG46" s="290" t="s">
        <v>124</v>
      </c>
      <c r="DH46" s="290" t="s">
        <v>124</v>
      </c>
      <c r="DI46" s="290" t="s">
        <v>124</v>
      </c>
      <c r="DJ46" s="290" t="s">
        <v>124</v>
      </c>
      <c r="DK46" s="290" t="s">
        <v>124</v>
      </c>
      <c r="DL46" s="290" t="s">
        <v>124</v>
      </c>
      <c r="DM46" s="290" t="s">
        <v>124</v>
      </c>
      <c r="DN46" s="290" t="s">
        <v>124</v>
      </c>
      <c r="DO46" s="290" t="s">
        <v>124</v>
      </c>
      <c r="DP46" s="290" t="s">
        <v>124</v>
      </c>
      <c r="DQ46" s="290" t="s">
        <v>124</v>
      </c>
      <c r="DR46" s="290" t="s">
        <v>124</v>
      </c>
      <c r="DS46" s="290" t="s">
        <v>124</v>
      </c>
      <c r="DT46" s="290" t="s">
        <v>124</v>
      </c>
      <c r="DU46" s="290" t="s">
        <v>124</v>
      </c>
      <c r="DV46" s="290" t="s">
        <v>124</v>
      </c>
      <c r="DW46" s="290" t="s">
        <v>124</v>
      </c>
      <c r="DX46" s="290" t="s">
        <v>124</v>
      </c>
      <c r="DY46" s="290" t="s">
        <v>124</v>
      </c>
      <c r="DZ46" s="290" t="s">
        <v>124</v>
      </c>
      <c r="EA46" s="290" t="s">
        <v>124</v>
      </c>
      <c r="EB46" s="290" t="s">
        <v>124</v>
      </c>
      <c r="EC46" s="290" t="s">
        <v>124</v>
      </c>
      <c r="ED46" s="290" t="s">
        <v>124</v>
      </c>
      <c r="EE46" s="290" t="s">
        <v>124</v>
      </c>
      <c r="EF46" s="290" t="s">
        <v>124</v>
      </c>
      <c r="EG46" s="290" t="s">
        <v>124</v>
      </c>
      <c r="EH46" s="290" t="s">
        <v>124</v>
      </c>
      <c r="EI46" s="290" t="s">
        <v>124</v>
      </c>
      <c r="EJ46" s="290" t="s">
        <v>124</v>
      </c>
      <c r="EK46" s="290" t="s">
        <v>124</v>
      </c>
      <c r="EL46" s="290" t="s">
        <v>124</v>
      </c>
      <c r="EM46" s="290" t="s">
        <v>124</v>
      </c>
      <c r="EN46" s="290" t="s">
        <v>124</v>
      </c>
      <c r="EO46" s="290" t="s">
        <v>124</v>
      </c>
      <c r="EP46" s="290" t="s">
        <v>124</v>
      </c>
      <c r="EQ46" s="290" t="s">
        <v>124</v>
      </c>
      <c r="ER46" s="290" t="s">
        <v>124</v>
      </c>
      <c r="ES46" s="290" t="s">
        <v>124</v>
      </c>
      <c r="ET46" s="290" t="s">
        <v>124</v>
      </c>
      <c r="EU46" s="294" t="s">
        <v>124</v>
      </c>
      <c r="EV46" s="286" t="s">
        <v>1114</v>
      </c>
      <c r="EW46" s="286" t="s">
        <v>1115</v>
      </c>
      <c r="EX46" s="286" t="s">
        <v>1116</v>
      </c>
      <c r="EY46" s="286" t="s">
        <v>1117</v>
      </c>
      <c r="EZ46" s="286" t="s">
        <v>68</v>
      </c>
      <c r="FA46" s="286" t="s">
        <v>68</v>
      </c>
      <c r="FB46" s="286" t="s">
        <v>68</v>
      </c>
      <c r="FC46" s="286" t="s">
        <v>68</v>
      </c>
      <c r="FD46" s="286" t="s">
        <v>1118</v>
      </c>
    </row>
    <row r="47" spans="2:160" s="6" customFormat="1" ht="13.5" customHeight="1" outlineLevel="4" x14ac:dyDescent="0.35">
      <c r="B47" s="295" t="s">
        <v>126</v>
      </c>
      <c r="C47" s="287" t="s">
        <v>134</v>
      </c>
      <c r="D47" s="287" t="s">
        <v>161</v>
      </c>
      <c r="E47" s="287" t="s">
        <v>164</v>
      </c>
      <c r="F47" s="287" t="s">
        <v>159</v>
      </c>
      <c r="G47" s="287" t="s">
        <v>166</v>
      </c>
      <c r="H47" s="296" t="s">
        <v>172</v>
      </c>
      <c r="I47" s="296" t="s">
        <v>158</v>
      </c>
      <c r="J47" s="288" t="s">
        <v>158</v>
      </c>
      <c r="K47" s="287" t="s">
        <v>158</v>
      </c>
      <c r="L47" s="289" t="s">
        <v>158</v>
      </c>
      <c r="M47" s="289" t="s">
        <v>158</v>
      </c>
      <c r="N47" s="289" t="s">
        <v>158</v>
      </c>
      <c r="O47" s="289" t="s">
        <v>158</v>
      </c>
      <c r="P47" s="290">
        <f t="shared" si="0"/>
        <v>0</v>
      </c>
      <c r="Q47" s="290" t="s">
        <v>67</v>
      </c>
      <c r="R47" s="290" t="s">
        <v>124</v>
      </c>
      <c r="S47" s="286" t="s">
        <v>156</v>
      </c>
      <c r="T47" s="286" t="s">
        <v>91</v>
      </c>
      <c r="U47" s="291" t="s">
        <v>65</v>
      </c>
      <c r="V47" s="292"/>
      <c r="W47" s="293"/>
      <c r="X47" s="293"/>
      <c r="Y47" s="293"/>
      <c r="Z47" s="293"/>
      <c r="AA47" s="293" t="s">
        <v>1155</v>
      </c>
      <c r="AB47" s="293"/>
      <c r="AC47" s="293"/>
      <c r="AD47" s="293"/>
      <c r="AE47" s="293"/>
      <c r="AF47" s="293"/>
      <c r="AG47" s="293"/>
      <c r="AH47" s="286" t="s">
        <v>213</v>
      </c>
      <c r="AI47" s="290" t="s">
        <v>124</v>
      </c>
      <c r="AJ47" s="290" t="s">
        <v>124</v>
      </c>
      <c r="AK47" s="290" t="s">
        <v>124</v>
      </c>
      <c r="AL47" s="290" t="s">
        <v>124</v>
      </c>
      <c r="AM47" s="290" t="s">
        <v>124</v>
      </c>
      <c r="AN47" s="290" t="s">
        <v>124</v>
      </c>
      <c r="AO47" s="290" t="s">
        <v>124</v>
      </c>
      <c r="AP47" s="290" t="s">
        <v>124</v>
      </c>
      <c r="AQ47" s="290" t="s">
        <v>124</v>
      </c>
      <c r="AR47" s="290" t="s">
        <v>124</v>
      </c>
      <c r="AS47" s="290" t="s">
        <v>124</v>
      </c>
      <c r="AT47" s="290" t="s">
        <v>124</v>
      </c>
      <c r="AU47" s="290" t="s">
        <v>124</v>
      </c>
      <c r="AV47" s="290" t="s">
        <v>124</v>
      </c>
      <c r="AW47" s="290" t="s">
        <v>124</v>
      </c>
      <c r="AX47" s="290" t="s">
        <v>124</v>
      </c>
      <c r="AY47" s="290" t="s">
        <v>124</v>
      </c>
      <c r="AZ47" s="290" t="s">
        <v>124</v>
      </c>
      <c r="BA47" s="290" t="s">
        <v>124</v>
      </c>
      <c r="BB47" s="290" t="s">
        <v>124</v>
      </c>
      <c r="BC47" s="290" t="s">
        <v>124</v>
      </c>
      <c r="BD47" s="290" t="s">
        <v>124</v>
      </c>
      <c r="BE47" s="290" t="s">
        <v>124</v>
      </c>
      <c r="BF47" s="290" t="s">
        <v>124</v>
      </c>
      <c r="BG47" s="290" t="s">
        <v>124</v>
      </c>
      <c r="BH47" s="290" t="s">
        <v>67</v>
      </c>
      <c r="BI47" s="290" t="s">
        <v>67</v>
      </c>
      <c r="BJ47" s="290" t="s">
        <v>67</v>
      </c>
      <c r="BK47" s="290" t="s">
        <v>124</v>
      </c>
      <c r="BL47" s="290" t="s">
        <v>124</v>
      </c>
      <c r="BM47" s="290" t="s">
        <v>124</v>
      </c>
      <c r="BN47" s="290" t="s">
        <v>124</v>
      </c>
      <c r="BO47" s="290" t="s">
        <v>124</v>
      </c>
      <c r="BP47" s="290" t="s">
        <v>124</v>
      </c>
      <c r="BQ47" s="290" t="s">
        <v>124</v>
      </c>
      <c r="BR47" s="290" t="s">
        <v>124</v>
      </c>
      <c r="BS47" s="290" t="s">
        <v>124</v>
      </c>
      <c r="BT47" s="290" t="s">
        <v>124</v>
      </c>
      <c r="BU47" s="290" t="s">
        <v>124</v>
      </c>
      <c r="BV47" s="290" t="s">
        <v>124</v>
      </c>
      <c r="BW47" s="290" t="s">
        <v>124</v>
      </c>
      <c r="BX47" s="290" t="s">
        <v>124</v>
      </c>
      <c r="BY47" s="290" t="s">
        <v>124</v>
      </c>
      <c r="BZ47" s="290" t="s">
        <v>124</v>
      </c>
      <c r="CA47" s="290" t="s">
        <v>124</v>
      </c>
      <c r="CB47" s="290" t="s">
        <v>124</v>
      </c>
      <c r="CC47" s="290" t="s">
        <v>124</v>
      </c>
      <c r="CD47" s="290" t="s">
        <v>124</v>
      </c>
      <c r="CE47" s="290" t="s">
        <v>124</v>
      </c>
      <c r="CF47" s="290" t="s">
        <v>124</v>
      </c>
      <c r="CG47" s="290" t="s">
        <v>124</v>
      </c>
      <c r="CH47" s="290" t="s">
        <v>124</v>
      </c>
      <c r="CI47" s="290" t="s">
        <v>124</v>
      </c>
      <c r="CJ47" s="290" t="s">
        <v>124</v>
      </c>
      <c r="CK47" s="290" t="s">
        <v>124</v>
      </c>
      <c r="CL47" s="290" t="s">
        <v>124</v>
      </c>
      <c r="CM47" s="290" t="s">
        <v>124</v>
      </c>
      <c r="CN47" s="290" t="s">
        <v>124</v>
      </c>
      <c r="CO47" s="290" t="s">
        <v>124</v>
      </c>
      <c r="CP47" s="290" t="s">
        <v>124</v>
      </c>
      <c r="CQ47" s="290" t="s">
        <v>124</v>
      </c>
      <c r="CR47" s="290" t="s">
        <v>124</v>
      </c>
      <c r="CS47" s="290" t="s">
        <v>124</v>
      </c>
      <c r="CT47" s="290" t="s">
        <v>124</v>
      </c>
      <c r="CU47" s="290" t="s">
        <v>124</v>
      </c>
      <c r="CV47" s="290" t="s">
        <v>124</v>
      </c>
      <c r="CW47" s="290" t="s">
        <v>124</v>
      </c>
      <c r="CX47" s="290" t="s">
        <v>124</v>
      </c>
      <c r="CY47" s="290" t="s">
        <v>124</v>
      </c>
      <c r="CZ47" s="290" t="s">
        <v>124</v>
      </c>
      <c r="DA47" s="290" t="s">
        <v>124</v>
      </c>
      <c r="DB47" s="290" t="s">
        <v>124</v>
      </c>
      <c r="DC47" s="290" t="s">
        <v>124</v>
      </c>
      <c r="DD47" s="290" t="s">
        <v>124</v>
      </c>
      <c r="DE47" s="290" t="s">
        <v>124</v>
      </c>
      <c r="DF47" s="290" t="s">
        <v>124</v>
      </c>
      <c r="DG47" s="290" t="s">
        <v>124</v>
      </c>
      <c r="DH47" s="290" t="s">
        <v>124</v>
      </c>
      <c r="DI47" s="290" t="s">
        <v>124</v>
      </c>
      <c r="DJ47" s="290" t="s">
        <v>124</v>
      </c>
      <c r="DK47" s="290" t="s">
        <v>124</v>
      </c>
      <c r="DL47" s="290" t="s">
        <v>124</v>
      </c>
      <c r="DM47" s="290" t="s">
        <v>124</v>
      </c>
      <c r="DN47" s="290" t="s">
        <v>124</v>
      </c>
      <c r="DO47" s="290" t="s">
        <v>124</v>
      </c>
      <c r="DP47" s="290" t="s">
        <v>124</v>
      </c>
      <c r="DQ47" s="290" t="s">
        <v>124</v>
      </c>
      <c r="DR47" s="290" t="s">
        <v>124</v>
      </c>
      <c r="DS47" s="290" t="s">
        <v>124</v>
      </c>
      <c r="DT47" s="290" t="s">
        <v>124</v>
      </c>
      <c r="DU47" s="290" t="s">
        <v>124</v>
      </c>
      <c r="DV47" s="290" t="s">
        <v>124</v>
      </c>
      <c r="DW47" s="290" t="s">
        <v>124</v>
      </c>
      <c r="DX47" s="290" t="s">
        <v>124</v>
      </c>
      <c r="DY47" s="290" t="s">
        <v>124</v>
      </c>
      <c r="DZ47" s="290" t="s">
        <v>124</v>
      </c>
      <c r="EA47" s="290" t="s">
        <v>124</v>
      </c>
      <c r="EB47" s="290" t="s">
        <v>124</v>
      </c>
      <c r="EC47" s="290" t="s">
        <v>124</v>
      </c>
      <c r="ED47" s="290" t="s">
        <v>124</v>
      </c>
      <c r="EE47" s="290" t="s">
        <v>124</v>
      </c>
      <c r="EF47" s="290" t="s">
        <v>124</v>
      </c>
      <c r="EG47" s="290" t="s">
        <v>124</v>
      </c>
      <c r="EH47" s="290" t="s">
        <v>124</v>
      </c>
      <c r="EI47" s="290" t="s">
        <v>124</v>
      </c>
      <c r="EJ47" s="290" t="s">
        <v>124</v>
      </c>
      <c r="EK47" s="290" t="s">
        <v>124</v>
      </c>
      <c r="EL47" s="290" t="s">
        <v>124</v>
      </c>
      <c r="EM47" s="290" t="s">
        <v>124</v>
      </c>
      <c r="EN47" s="290" t="s">
        <v>124</v>
      </c>
      <c r="EO47" s="290" t="s">
        <v>124</v>
      </c>
      <c r="EP47" s="290" t="s">
        <v>124</v>
      </c>
      <c r="EQ47" s="290" t="s">
        <v>124</v>
      </c>
      <c r="ER47" s="290" t="s">
        <v>124</v>
      </c>
      <c r="ES47" s="290" t="s">
        <v>124</v>
      </c>
      <c r="ET47" s="290" t="s">
        <v>124</v>
      </c>
      <c r="EU47" s="294" t="s">
        <v>124</v>
      </c>
      <c r="EV47" s="286" t="s">
        <v>1114</v>
      </c>
      <c r="EW47" s="286" t="s">
        <v>1115</v>
      </c>
      <c r="EX47" s="286" t="s">
        <v>1116</v>
      </c>
      <c r="EY47" s="286" t="s">
        <v>1117</v>
      </c>
      <c r="EZ47" s="286" t="s">
        <v>68</v>
      </c>
      <c r="FA47" s="286" t="s">
        <v>68</v>
      </c>
      <c r="FB47" s="286" t="s">
        <v>68</v>
      </c>
      <c r="FC47" s="286" t="s">
        <v>68</v>
      </c>
      <c r="FD47" s="286" t="s">
        <v>1118</v>
      </c>
    </row>
    <row r="48" spans="2:160" s="6" customFormat="1" ht="13.5" customHeight="1" outlineLevel="3" x14ac:dyDescent="0.2">
      <c r="B48" s="286" t="s">
        <v>68</v>
      </c>
      <c r="C48" s="287" t="s">
        <v>134</v>
      </c>
      <c r="D48" s="287" t="s">
        <v>161</v>
      </c>
      <c r="E48" s="287" t="s">
        <v>164</v>
      </c>
      <c r="F48" s="287" t="s">
        <v>159</v>
      </c>
      <c r="G48" s="287" t="s">
        <v>167</v>
      </c>
      <c r="H48" s="287" t="s">
        <v>158</v>
      </c>
      <c r="I48" s="296" t="s">
        <v>158</v>
      </c>
      <c r="J48" s="288" t="s">
        <v>158</v>
      </c>
      <c r="K48" s="287" t="s">
        <v>158</v>
      </c>
      <c r="L48" s="289" t="s">
        <v>158</v>
      </c>
      <c r="M48" s="289" t="s">
        <v>158</v>
      </c>
      <c r="N48" s="289" t="s">
        <v>158</v>
      </c>
      <c r="O48" s="289" t="s">
        <v>158</v>
      </c>
      <c r="P48" s="290">
        <f t="shared" si="0"/>
        <v>0</v>
      </c>
      <c r="Q48" s="290" t="s">
        <v>124</v>
      </c>
      <c r="R48" s="290" t="s">
        <v>124</v>
      </c>
      <c r="S48" s="290" t="s">
        <v>68</v>
      </c>
      <c r="T48" s="286" t="s">
        <v>91</v>
      </c>
      <c r="U48" s="291" t="s">
        <v>99</v>
      </c>
      <c r="V48" s="292"/>
      <c r="W48" s="293"/>
      <c r="X48" s="293"/>
      <c r="Y48" s="290"/>
      <c r="Z48" s="298" t="s">
        <v>1156</v>
      </c>
      <c r="AA48" s="298"/>
      <c r="AB48" s="298"/>
      <c r="AC48" s="298"/>
      <c r="AD48" s="298"/>
      <c r="AE48" s="298"/>
      <c r="AF48" s="298"/>
      <c r="AG48" s="298"/>
      <c r="AH48" s="286" t="s">
        <v>214</v>
      </c>
      <c r="AI48" s="290" t="s">
        <v>68</v>
      </c>
      <c r="AJ48" s="290" t="s">
        <v>68</v>
      </c>
      <c r="AK48" s="290" t="s">
        <v>68</v>
      </c>
      <c r="AL48" s="290" t="s">
        <v>68</v>
      </c>
      <c r="AM48" s="290" t="s">
        <v>68</v>
      </c>
      <c r="AN48" s="290" t="s">
        <v>68</v>
      </c>
      <c r="AO48" s="290" t="s">
        <v>68</v>
      </c>
      <c r="AP48" s="290" t="s">
        <v>68</v>
      </c>
      <c r="AQ48" s="290" t="s">
        <v>68</v>
      </c>
      <c r="AR48" s="290" t="s">
        <v>68</v>
      </c>
      <c r="AS48" s="290" t="s">
        <v>68</v>
      </c>
      <c r="AT48" s="290" t="s">
        <v>68</v>
      </c>
      <c r="AU48" s="290" t="s">
        <v>68</v>
      </c>
      <c r="AV48" s="290" t="s">
        <v>68</v>
      </c>
      <c r="AW48" s="290" t="s">
        <v>68</v>
      </c>
      <c r="AX48" s="290" t="s">
        <v>68</v>
      </c>
      <c r="AY48" s="290" t="s">
        <v>68</v>
      </c>
      <c r="AZ48" s="290" t="s">
        <v>68</v>
      </c>
      <c r="BA48" s="290" t="s">
        <v>68</v>
      </c>
      <c r="BB48" s="290" t="s">
        <v>68</v>
      </c>
      <c r="BC48" s="290" t="s">
        <v>68</v>
      </c>
      <c r="BD48" s="290" t="s">
        <v>68</v>
      </c>
      <c r="BE48" s="290" t="s">
        <v>68</v>
      </c>
      <c r="BF48" s="290" t="s">
        <v>68</v>
      </c>
      <c r="BG48" s="290" t="s">
        <v>68</v>
      </c>
      <c r="BH48" s="290" t="s">
        <v>68</v>
      </c>
      <c r="BI48" s="290" t="s">
        <v>68</v>
      </c>
      <c r="BJ48" s="290" t="s">
        <v>68</v>
      </c>
      <c r="BK48" s="290" t="s">
        <v>68</v>
      </c>
      <c r="BL48" s="290" t="s">
        <v>68</v>
      </c>
      <c r="BM48" s="290" t="s">
        <v>68</v>
      </c>
      <c r="BN48" s="290" t="s">
        <v>68</v>
      </c>
      <c r="BO48" s="290" t="s">
        <v>68</v>
      </c>
      <c r="BP48" s="290" t="s">
        <v>68</v>
      </c>
      <c r="BQ48" s="290" t="s">
        <v>68</v>
      </c>
      <c r="BR48" s="290" t="s">
        <v>68</v>
      </c>
      <c r="BS48" s="290" t="s">
        <v>68</v>
      </c>
      <c r="BT48" s="290" t="s">
        <v>68</v>
      </c>
      <c r="BU48" s="290" t="s">
        <v>68</v>
      </c>
      <c r="BV48" s="290" t="s">
        <v>68</v>
      </c>
      <c r="BW48" s="290" t="s">
        <v>68</v>
      </c>
      <c r="BX48" s="290" t="s">
        <v>68</v>
      </c>
      <c r="BY48" s="290" t="s">
        <v>68</v>
      </c>
      <c r="BZ48" s="290" t="s">
        <v>68</v>
      </c>
      <c r="CA48" s="290" t="s">
        <v>68</v>
      </c>
      <c r="CB48" s="290" t="s">
        <v>68</v>
      </c>
      <c r="CC48" s="290" t="s">
        <v>68</v>
      </c>
      <c r="CD48" s="290" t="s">
        <v>68</v>
      </c>
      <c r="CE48" s="290" t="s">
        <v>68</v>
      </c>
      <c r="CF48" s="290" t="s">
        <v>68</v>
      </c>
      <c r="CG48" s="290" t="s">
        <v>68</v>
      </c>
      <c r="CH48" s="290" t="s">
        <v>68</v>
      </c>
      <c r="CI48" s="290" t="s">
        <v>68</v>
      </c>
      <c r="CJ48" s="290" t="s">
        <v>68</v>
      </c>
      <c r="CK48" s="290" t="s">
        <v>68</v>
      </c>
      <c r="CL48" s="290" t="s">
        <v>68</v>
      </c>
      <c r="CM48" s="290" t="s">
        <v>68</v>
      </c>
      <c r="CN48" s="290" t="s">
        <v>68</v>
      </c>
      <c r="CO48" s="290" t="s">
        <v>68</v>
      </c>
      <c r="CP48" s="290" t="s">
        <v>68</v>
      </c>
      <c r="CQ48" s="290" t="s">
        <v>68</v>
      </c>
      <c r="CR48" s="290" t="s">
        <v>68</v>
      </c>
      <c r="CS48" s="290" t="s">
        <v>68</v>
      </c>
      <c r="CT48" s="290" t="s">
        <v>68</v>
      </c>
      <c r="CU48" s="290" t="s">
        <v>68</v>
      </c>
      <c r="CV48" s="290" t="s">
        <v>68</v>
      </c>
      <c r="CW48" s="290" t="s">
        <v>68</v>
      </c>
      <c r="CX48" s="290" t="s">
        <v>68</v>
      </c>
      <c r="CY48" s="290" t="s">
        <v>68</v>
      </c>
      <c r="CZ48" s="290" t="s">
        <v>68</v>
      </c>
      <c r="DA48" s="290" t="s">
        <v>68</v>
      </c>
      <c r="DB48" s="290" t="s">
        <v>68</v>
      </c>
      <c r="DC48" s="290" t="s">
        <v>68</v>
      </c>
      <c r="DD48" s="290" t="s">
        <v>68</v>
      </c>
      <c r="DE48" s="290" t="s">
        <v>68</v>
      </c>
      <c r="DF48" s="290" t="s">
        <v>68</v>
      </c>
      <c r="DG48" s="290" t="s">
        <v>68</v>
      </c>
      <c r="DH48" s="290" t="s">
        <v>68</v>
      </c>
      <c r="DI48" s="290" t="s">
        <v>68</v>
      </c>
      <c r="DJ48" s="290" t="s">
        <v>68</v>
      </c>
      <c r="DK48" s="290" t="s">
        <v>68</v>
      </c>
      <c r="DL48" s="290" t="s">
        <v>68</v>
      </c>
      <c r="DM48" s="290" t="s">
        <v>68</v>
      </c>
      <c r="DN48" s="290" t="s">
        <v>68</v>
      </c>
      <c r="DO48" s="290" t="s">
        <v>68</v>
      </c>
      <c r="DP48" s="290" t="s">
        <v>68</v>
      </c>
      <c r="DQ48" s="290" t="s">
        <v>68</v>
      </c>
      <c r="DR48" s="290" t="s">
        <v>68</v>
      </c>
      <c r="DS48" s="290" t="s">
        <v>68</v>
      </c>
      <c r="DT48" s="290" t="s">
        <v>68</v>
      </c>
      <c r="DU48" s="290" t="s">
        <v>68</v>
      </c>
      <c r="DV48" s="290" t="s">
        <v>68</v>
      </c>
      <c r="DW48" s="290" t="s">
        <v>68</v>
      </c>
      <c r="DX48" s="290" t="s">
        <v>68</v>
      </c>
      <c r="DY48" s="290" t="s">
        <v>68</v>
      </c>
      <c r="DZ48" s="290" t="s">
        <v>68</v>
      </c>
      <c r="EA48" s="290" t="s">
        <v>68</v>
      </c>
      <c r="EB48" s="290" t="s">
        <v>68</v>
      </c>
      <c r="EC48" s="290" t="s">
        <v>68</v>
      </c>
      <c r="ED48" s="290" t="s">
        <v>68</v>
      </c>
      <c r="EE48" s="290" t="s">
        <v>68</v>
      </c>
      <c r="EF48" s="290" t="s">
        <v>68</v>
      </c>
      <c r="EG48" s="290" t="s">
        <v>68</v>
      </c>
      <c r="EH48" s="290" t="s">
        <v>68</v>
      </c>
      <c r="EI48" s="290" t="s">
        <v>68</v>
      </c>
      <c r="EJ48" s="290" t="s">
        <v>68</v>
      </c>
      <c r="EK48" s="290" t="s">
        <v>68</v>
      </c>
      <c r="EL48" s="290" t="s">
        <v>68</v>
      </c>
      <c r="EM48" s="290" t="s">
        <v>68</v>
      </c>
      <c r="EN48" s="290" t="s">
        <v>68</v>
      </c>
      <c r="EO48" s="290" t="s">
        <v>68</v>
      </c>
      <c r="EP48" s="290" t="s">
        <v>68</v>
      </c>
      <c r="EQ48" s="290" t="s">
        <v>68</v>
      </c>
      <c r="ER48" s="290" t="s">
        <v>68</v>
      </c>
      <c r="ES48" s="290" t="s">
        <v>68</v>
      </c>
      <c r="ET48" s="290" t="s">
        <v>68</v>
      </c>
      <c r="EU48" s="294" t="s">
        <v>68</v>
      </c>
      <c r="EV48" s="286" t="s">
        <v>68</v>
      </c>
      <c r="EW48" s="286" t="s">
        <v>68</v>
      </c>
      <c r="EX48" s="286" t="s">
        <v>68</v>
      </c>
      <c r="EY48" s="286" t="s">
        <v>68</v>
      </c>
      <c r="EZ48" s="286" t="s">
        <v>68</v>
      </c>
      <c r="FA48" s="286" t="s">
        <v>68</v>
      </c>
      <c r="FB48" s="286" t="s">
        <v>68</v>
      </c>
      <c r="FC48" s="286" t="s">
        <v>68</v>
      </c>
      <c r="FD48" s="286" t="s">
        <v>68</v>
      </c>
    </row>
    <row r="49" spans="2:160" s="6" customFormat="1" ht="13.5" customHeight="1" outlineLevel="6" x14ac:dyDescent="0.35">
      <c r="B49" s="295" t="s">
        <v>126</v>
      </c>
      <c r="C49" s="287" t="s">
        <v>134</v>
      </c>
      <c r="D49" s="287" t="s">
        <v>161</v>
      </c>
      <c r="E49" s="287" t="s">
        <v>164</v>
      </c>
      <c r="F49" s="287" t="s">
        <v>159</v>
      </c>
      <c r="G49" s="287" t="s">
        <v>167</v>
      </c>
      <c r="H49" s="296" t="s">
        <v>159</v>
      </c>
      <c r="I49" s="296" t="s">
        <v>158</v>
      </c>
      <c r="J49" s="288" t="s">
        <v>158</v>
      </c>
      <c r="K49" s="287" t="s">
        <v>158</v>
      </c>
      <c r="L49" s="289" t="s">
        <v>158</v>
      </c>
      <c r="M49" s="289" t="s">
        <v>158</v>
      </c>
      <c r="N49" s="289" t="s">
        <v>158</v>
      </c>
      <c r="O49" s="289" t="s">
        <v>158</v>
      </c>
      <c r="P49" s="290">
        <f t="shared" si="0"/>
        <v>0</v>
      </c>
      <c r="Q49" s="290" t="s">
        <v>67</v>
      </c>
      <c r="R49" s="290" t="s">
        <v>124</v>
      </c>
      <c r="S49" s="286" t="s">
        <v>156</v>
      </c>
      <c r="T49" s="286" t="s">
        <v>91</v>
      </c>
      <c r="U49" s="291" t="s">
        <v>98</v>
      </c>
      <c r="V49" s="292"/>
      <c r="W49" s="293"/>
      <c r="X49" s="293"/>
      <c r="Y49" s="293"/>
      <c r="Z49" s="290"/>
      <c r="AA49" s="293" t="s">
        <v>1157</v>
      </c>
      <c r="AB49" s="293"/>
      <c r="AC49" s="293"/>
      <c r="AD49" s="293"/>
      <c r="AE49" s="293"/>
      <c r="AF49" s="293"/>
      <c r="AG49" s="293"/>
      <c r="AH49" s="286" t="s">
        <v>215</v>
      </c>
      <c r="AI49" s="290" t="s">
        <v>124</v>
      </c>
      <c r="AJ49" s="290" t="s">
        <v>124</v>
      </c>
      <c r="AK49" s="290" t="s">
        <v>124</v>
      </c>
      <c r="AL49" s="290" t="s">
        <v>124</v>
      </c>
      <c r="AM49" s="290" t="s">
        <v>124</v>
      </c>
      <c r="AN49" s="290" t="s">
        <v>124</v>
      </c>
      <c r="AO49" s="290" t="s">
        <v>124</v>
      </c>
      <c r="AP49" s="290" t="s">
        <v>124</v>
      </c>
      <c r="AQ49" s="290" t="s">
        <v>124</v>
      </c>
      <c r="AR49" s="290" t="s">
        <v>124</v>
      </c>
      <c r="AS49" s="290" t="s">
        <v>124</v>
      </c>
      <c r="AT49" s="290" t="s">
        <v>124</v>
      </c>
      <c r="AU49" s="290" t="s">
        <v>124</v>
      </c>
      <c r="AV49" s="290" t="s">
        <v>124</v>
      </c>
      <c r="AW49" s="290" t="s">
        <v>124</v>
      </c>
      <c r="AX49" s="290" t="s">
        <v>124</v>
      </c>
      <c r="AY49" s="290" t="s">
        <v>124</v>
      </c>
      <c r="AZ49" s="290" t="s">
        <v>124</v>
      </c>
      <c r="BA49" s="290" t="s">
        <v>124</v>
      </c>
      <c r="BB49" s="290" t="s">
        <v>124</v>
      </c>
      <c r="BC49" s="290" t="s">
        <v>124</v>
      </c>
      <c r="BD49" s="290" t="s">
        <v>124</v>
      </c>
      <c r="BE49" s="290" t="s">
        <v>124</v>
      </c>
      <c r="BF49" s="290" t="s">
        <v>124</v>
      </c>
      <c r="BG49" s="290" t="s">
        <v>124</v>
      </c>
      <c r="BH49" s="290" t="s">
        <v>67</v>
      </c>
      <c r="BI49" s="290" t="s">
        <v>67</v>
      </c>
      <c r="BJ49" s="290" t="s">
        <v>67</v>
      </c>
      <c r="BK49" s="290" t="s">
        <v>124</v>
      </c>
      <c r="BL49" s="290" t="s">
        <v>124</v>
      </c>
      <c r="BM49" s="290" t="s">
        <v>124</v>
      </c>
      <c r="BN49" s="290" t="s">
        <v>124</v>
      </c>
      <c r="BO49" s="290" t="s">
        <v>124</v>
      </c>
      <c r="BP49" s="290" t="s">
        <v>124</v>
      </c>
      <c r="BQ49" s="290" t="s">
        <v>124</v>
      </c>
      <c r="BR49" s="290" t="s">
        <v>124</v>
      </c>
      <c r="BS49" s="290" t="s">
        <v>124</v>
      </c>
      <c r="BT49" s="290" t="s">
        <v>124</v>
      </c>
      <c r="BU49" s="290" t="s">
        <v>124</v>
      </c>
      <c r="BV49" s="290" t="s">
        <v>124</v>
      </c>
      <c r="BW49" s="290" t="s">
        <v>124</v>
      </c>
      <c r="BX49" s="290" t="s">
        <v>124</v>
      </c>
      <c r="BY49" s="290" t="s">
        <v>124</v>
      </c>
      <c r="BZ49" s="290" t="s">
        <v>124</v>
      </c>
      <c r="CA49" s="290" t="s">
        <v>124</v>
      </c>
      <c r="CB49" s="290" t="s">
        <v>124</v>
      </c>
      <c r="CC49" s="290" t="s">
        <v>124</v>
      </c>
      <c r="CD49" s="290" t="s">
        <v>124</v>
      </c>
      <c r="CE49" s="290" t="s">
        <v>124</v>
      </c>
      <c r="CF49" s="290" t="s">
        <v>124</v>
      </c>
      <c r="CG49" s="290" t="s">
        <v>124</v>
      </c>
      <c r="CH49" s="290" t="s">
        <v>124</v>
      </c>
      <c r="CI49" s="290" t="s">
        <v>124</v>
      </c>
      <c r="CJ49" s="290" t="s">
        <v>124</v>
      </c>
      <c r="CK49" s="290" t="s">
        <v>124</v>
      </c>
      <c r="CL49" s="290" t="s">
        <v>124</v>
      </c>
      <c r="CM49" s="290" t="s">
        <v>124</v>
      </c>
      <c r="CN49" s="290" t="s">
        <v>124</v>
      </c>
      <c r="CO49" s="290" t="s">
        <v>124</v>
      </c>
      <c r="CP49" s="290" t="s">
        <v>124</v>
      </c>
      <c r="CQ49" s="290" t="s">
        <v>124</v>
      </c>
      <c r="CR49" s="290" t="s">
        <v>124</v>
      </c>
      <c r="CS49" s="290" t="s">
        <v>124</v>
      </c>
      <c r="CT49" s="290" t="s">
        <v>124</v>
      </c>
      <c r="CU49" s="290" t="s">
        <v>124</v>
      </c>
      <c r="CV49" s="290" t="s">
        <v>124</v>
      </c>
      <c r="CW49" s="290" t="s">
        <v>124</v>
      </c>
      <c r="CX49" s="290" t="s">
        <v>124</v>
      </c>
      <c r="CY49" s="290" t="s">
        <v>124</v>
      </c>
      <c r="CZ49" s="290" t="s">
        <v>124</v>
      </c>
      <c r="DA49" s="290" t="s">
        <v>124</v>
      </c>
      <c r="DB49" s="290" t="s">
        <v>124</v>
      </c>
      <c r="DC49" s="290" t="s">
        <v>124</v>
      </c>
      <c r="DD49" s="290" t="s">
        <v>124</v>
      </c>
      <c r="DE49" s="290" t="s">
        <v>124</v>
      </c>
      <c r="DF49" s="290" t="s">
        <v>124</v>
      </c>
      <c r="DG49" s="290" t="s">
        <v>124</v>
      </c>
      <c r="DH49" s="290" t="s">
        <v>124</v>
      </c>
      <c r="DI49" s="290" t="s">
        <v>124</v>
      </c>
      <c r="DJ49" s="290" t="s">
        <v>124</v>
      </c>
      <c r="DK49" s="290" t="s">
        <v>124</v>
      </c>
      <c r="DL49" s="290" t="s">
        <v>124</v>
      </c>
      <c r="DM49" s="290" t="s">
        <v>124</v>
      </c>
      <c r="DN49" s="290" t="s">
        <v>124</v>
      </c>
      <c r="DO49" s="290" t="s">
        <v>124</v>
      </c>
      <c r="DP49" s="290" t="s">
        <v>124</v>
      </c>
      <c r="DQ49" s="290" t="s">
        <v>124</v>
      </c>
      <c r="DR49" s="290" t="s">
        <v>124</v>
      </c>
      <c r="DS49" s="290" t="s">
        <v>124</v>
      </c>
      <c r="DT49" s="290" t="s">
        <v>124</v>
      </c>
      <c r="DU49" s="290" t="s">
        <v>124</v>
      </c>
      <c r="DV49" s="290" t="s">
        <v>124</v>
      </c>
      <c r="DW49" s="290" t="s">
        <v>124</v>
      </c>
      <c r="DX49" s="290" t="s">
        <v>124</v>
      </c>
      <c r="DY49" s="290" t="s">
        <v>124</v>
      </c>
      <c r="DZ49" s="290" t="s">
        <v>124</v>
      </c>
      <c r="EA49" s="290" t="s">
        <v>124</v>
      </c>
      <c r="EB49" s="290" t="s">
        <v>124</v>
      </c>
      <c r="EC49" s="290" t="s">
        <v>124</v>
      </c>
      <c r="ED49" s="290" t="s">
        <v>124</v>
      </c>
      <c r="EE49" s="290" t="s">
        <v>124</v>
      </c>
      <c r="EF49" s="290" t="s">
        <v>124</v>
      </c>
      <c r="EG49" s="290" t="s">
        <v>124</v>
      </c>
      <c r="EH49" s="290" t="s">
        <v>124</v>
      </c>
      <c r="EI49" s="290" t="s">
        <v>124</v>
      </c>
      <c r="EJ49" s="290" t="s">
        <v>124</v>
      </c>
      <c r="EK49" s="290" t="s">
        <v>124</v>
      </c>
      <c r="EL49" s="290" t="s">
        <v>124</v>
      </c>
      <c r="EM49" s="290" t="s">
        <v>124</v>
      </c>
      <c r="EN49" s="290" t="s">
        <v>124</v>
      </c>
      <c r="EO49" s="290" t="s">
        <v>124</v>
      </c>
      <c r="EP49" s="290" t="s">
        <v>124</v>
      </c>
      <c r="EQ49" s="290" t="s">
        <v>124</v>
      </c>
      <c r="ER49" s="290" t="s">
        <v>124</v>
      </c>
      <c r="ES49" s="290" t="s">
        <v>124</v>
      </c>
      <c r="ET49" s="290" t="s">
        <v>124</v>
      </c>
      <c r="EU49" s="294" t="s">
        <v>124</v>
      </c>
      <c r="EV49" s="286" t="s">
        <v>1114</v>
      </c>
      <c r="EW49" s="286" t="s">
        <v>1115</v>
      </c>
      <c r="EX49" s="286" t="s">
        <v>1116</v>
      </c>
      <c r="EY49" s="286" t="s">
        <v>1117</v>
      </c>
      <c r="EZ49" s="286" t="s">
        <v>68</v>
      </c>
      <c r="FA49" s="286" t="s">
        <v>68</v>
      </c>
      <c r="FB49" s="286" t="s">
        <v>68</v>
      </c>
      <c r="FC49" s="286" t="s">
        <v>68</v>
      </c>
      <c r="FD49" s="286" t="s">
        <v>1118</v>
      </c>
    </row>
    <row r="50" spans="2:160" s="6" customFormat="1" ht="13.5" customHeight="1" outlineLevel="6" x14ac:dyDescent="0.35">
      <c r="B50" s="295" t="s">
        <v>126</v>
      </c>
      <c r="C50" s="287" t="s">
        <v>134</v>
      </c>
      <c r="D50" s="287" t="s">
        <v>161</v>
      </c>
      <c r="E50" s="287" t="s">
        <v>164</v>
      </c>
      <c r="F50" s="287" t="s">
        <v>159</v>
      </c>
      <c r="G50" s="287" t="s">
        <v>167</v>
      </c>
      <c r="H50" s="296" t="s">
        <v>160</v>
      </c>
      <c r="I50" s="296" t="s">
        <v>158</v>
      </c>
      <c r="J50" s="288" t="s">
        <v>158</v>
      </c>
      <c r="K50" s="287" t="s">
        <v>158</v>
      </c>
      <c r="L50" s="289" t="s">
        <v>158</v>
      </c>
      <c r="M50" s="289" t="s">
        <v>158</v>
      </c>
      <c r="N50" s="289" t="s">
        <v>158</v>
      </c>
      <c r="O50" s="289" t="s">
        <v>158</v>
      </c>
      <c r="P50" s="290">
        <f t="shared" si="0"/>
        <v>0</v>
      </c>
      <c r="Q50" s="290" t="s">
        <v>67</v>
      </c>
      <c r="R50" s="290" t="s">
        <v>124</v>
      </c>
      <c r="S50" s="286" t="s">
        <v>156</v>
      </c>
      <c r="T50" s="286" t="s">
        <v>91</v>
      </c>
      <c r="U50" s="291" t="s">
        <v>117</v>
      </c>
      <c r="V50" s="292"/>
      <c r="W50" s="293"/>
      <c r="X50" s="293"/>
      <c r="Y50" s="293"/>
      <c r="Z50" s="290"/>
      <c r="AA50" s="293" t="s">
        <v>1158</v>
      </c>
      <c r="AB50" s="293"/>
      <c r="AC50" s="293"/>
      <c r="AD50" s="293"/>
      <c r="AE50" s="293"/>
      <c r="AF50" s="293"/>
      <c r="AG50" s="293"/>
      <c r="AH50" s="286" t="s">
        <v>216</v>
      </c>
      <c r="AI50" s="290" t="s">
        <v>124</v>
      </c>
      <c r="AJ50" s="290" t="s">
        <v>124</v>
      </c>
      <c r="AK50" s="290" t="s">
        <v>124</v>
      </c>
      <c r="AL50" s="290" t="s">
        <v>124</v>
      </c>
      <c r="AM50" s="290" t="s">
        <v>124</v>
      </c>
      <c r="AN50" s="290" t="s">
        <v>124</v>
      </c>
      <c r="AO50" s="290" t="s">
        <v>124</v>
      </c>
      <c r="AP50" s="290" t="s">
        <v>124</v>
      </c>
      <c r="AQ50" s="290" t="s">
        <v>124</v>
      </c>
      <c r="AR50" s="290" t="s">
        <v>124</v>
      </c>
      <c r="AS50" s="290" t="s">
        <v>124</v>
      </c>
      <c r="AT50" s="290" t="s">
        <v>124</v>
      </c>
      <c r="AU50" s="290" t="s">
        <v>124</v>
      </c>
      <c r="AV50" s="290" t="s">
        <v>124</v>
      </c>
      <c r="AW50" s="290" t="s">
        <v>124</v>
      </c>
      <c r="AX50" s="290" t="s">
        <v>124</v>
      </c>
      <c r="AY50" s="290" t="s">
        <v>124</v>
      </c>
      <c r="AZ50" s="290" t="s">
        <v>124</v>
      </c>
      <c r="BA50" s="290" t="s">
        <v>124</v>
      </c>
      <c r="BB50" s="290" t="s">
        <v>124</v>
      </c>
      <c r="BC50" s="290" t="s">
        <v>124</v>
      </c>
      <c r="BD50" s="290" t="s">
        <v>124</v>
      </c>
      <c r="BE50" s="290" t="s">
        <v>124</v>
      </c>
      <c r="BF50" s="290" t="s">
        <v>124</v>
      </c>
      <c r="BG50" s="290" t="s">
        <v>124</v>
      </c>
      <c r="BH50" s="290" t="s">
        <v>67</v>
      </c>
      <c r="BI50" s="290" t="s">
        <v>67</v>
      </c>
      <c r="BJ50" s="290" t="s">
        <v>67</v>
      </c>
      <c r="BK50" s="290" t="s">
        <v>124</v>
      </c>
      <c r="BL50" s="290" t="s">
        <v>124</v>
      </c>
      <c r="BM50" s="290" t="s">
        <v>124</v>
      </c>
      <c r="BN50" s="290" t="s">
        <v>124</v>
      </c>
      <c r="BO50" s="290" t="s">
        <v>124</v>
      </c>
      <c r="BP50" s="290" t="s">
        <v>124</v>
      </c>
      <c r="BQ50" s="290" t="s">
        <v>124</v>
      </c>
      <c r="BR50" s="290" t="s">
        <v>124</v>
      </c>
      <c r="BS50" s="290" t="s">
        <v>124</v>
      </c>
      <c r="BT50" s="290" t="s">
        <v>124</v>
      </c>
      <c r="BU50" s="290" t="s">
        <v>124</v>
      </c>
      <c r="BV50" s="290" t="s">
        <v>124</v>
      </c>
      <c r="BW50" s="290" t="s">
        <v>124</v>
      </c>
      <c r="BX50" s="290" t="s">
        <v>124</v>
      </c>
      <c r="BY50" s="290" t="s">
        <v>124</v>
      </c>
      <c r="BZ50" s="290" t="s">
        <v>124</v>
      </c>
      <c r="CA50" s="290" t="s">
        <v>124</v>
      </c>
      <c r="CB50" s="290" t="s">
        <v>124</v>
      </c>
      <c r="CC50" s="290" t="s">
        <v>124</v>
      </c>
      <c r="CD50" s="290" t="s">
        <v>124</v>
      </c>
      <c r="CE50" s="290" t="s">
        <v>124</v>
      </c>
      <c r="CF50" s="290" t="s">
        <v>124</v>
      </c>
      <c r="CG50" s="290" t="s">
        <v>124</v>
      </c>
      <c r="CH50" s="290" t="s">
        <v>124</v>
      </c>
      <c r="CI50" s="290" t="s">
        <v>124</v>
      </c>
      <c r="CJ50" s="290" t="s">
        <v>124</v>
      </c>
      <c r="CK50" s="290" t="s">
        <v>124</v>
      </c>
      <c r="CL50" s="290" t="s">
        <v>124</v>
      </c>
      <c r="CM50" s="290" t="s">
        <v>124</v>
      </c>
      <c r="CN50" s="290" t="s">
        <v>124</v>
      </c>
      <c r="CO50" s="290" t="s">
        <v>124</v>
      </c>
      <c r="CP50" s="290" t="s">
        <v>124</v>
      </c>
      <c r="CQ50" s="290" t="s">
        <v>124</v>
      </c>
      <c r="CR50" s="290" t="s">
        <v>124</v>
      </c>
      <c r="CS50" s="290" t="s">
        <v>124</v>
      </c>
      <c r="CT50" s="290" t="s">
        <v>124</v>
      </c>
      <c r="CU50" s="290" t="s">
        <v>124</v>
      </c>
      <c r="CV50" s="290" t="s">
        <v>124</v>
      </c>
      <c r="CW50" s="290" t="s">
        <v>124</v>
      </c>
      <c r="CX50" s="290" t="s">
        <v>124</v>
      </c>
      <c r="CY50" s="290" t="s">
        <v>124</v>
      </c>
      <c r="CZ50" s="290" t="s">
        <v>124</v>
      </c>
      <c r="DA50" s="290" t="s">
        <v>124</v>
      </c>
      <c r="DB50" s="290" t="s">
        <v>124</v>
      </c>
      <c r="DC50" s="290" t="s">
        <v>124</v>
      </c>
      <c r="DD50" s="290" t="s">
        <v>124</v>
      </c>
      <c r="DE50" s="290" t="s">
        <v>124</v>
      </c>
      <c r="DF50" s="290" t="s">
        <v>124</v>
      </c>
      <c r="DG50" s="290" t="s">
        <v>124</v>
      </c>
      <c r="DH50" s="290" t="s">
        <v>124</v>
      </c>
      <c r="DI50" s="290" t="s">
        <v>124</v>
      </c>
      <c r="DJ50" s="290" t="s">
        <v>124</v>
      </c>
      <c r="DK50" s="290" t="s">
        <v>124</v>
      </c>
      <c r="DL50" s="290" t="s">
        <v>124</v>
      </c>
      <c r="DM50" s="290" t="s">
        <v>124</v>
      </c>
      <c r="DN50" s="290" t="s">
        <v>124</v>
      </c>
      <c r="DO50" s="290" t="s">
        <v>124</v>
      </c>
      <c r="DP50" s="290" t="s">
        <v>124</v>
      </c>
      <c r="DQ50" s="290" t="s">
        <v>124</v>
      </c>
      <c r="DR50" s="290" t="s">
        <v>124</v>
      </c>
      <c r="DS50" s="290" t="s">
        <v>124</v>
      </c>
      <c r="DT50" s="290" t="s">
        <v>124</v>
      </c>
      <c r="DU50" s="290" t="s">
        <v>124</v>
      </c>
      <c r="DV50" s="290" t="s">
        <v>124</v>
      </c>
      <c r="DW50" s="290" t="s">
        <v>124</v>
      </c>
      <c r="DX50" s="290" t="s">
        <v>124</v>
      </c>
      <c r="DY50" s="290" t="s">
        <v>124</v>
      </c>
      <c r="DZ50" s="290" t="s">
        <v>124</v>
      </c>
      <c r="EA50" s="290" t="s">
        <v>124</v>
      </c>
      <c r="EB50" s="290" t="s">
        <v>124</v>
      </c>
      <c r="EC50" s="290" t="s">
        <v>124</v>
      </c>
      <c r="ED50" s="290" t="s">
        <v>124</v>
      </c>
      <c r="EE50" s="290" t="s">
        <v>124</v>
      </c>
      <c r="EF50" s="290" t="s">
        <v>124</v>
      </c>
      <c r="EG50" s="290" t="s">
        <v>124</v>
      </c>
      <c r="EH50" s="290" t="s">
        <v>124</v>
      </c>
      <c r="EI50" s="290" t="s">
        <v>124</v>
      </c>
      <c r="EJ50" s="290" t="s">
        <v>124</v>
      </c>
      <c r="EK50" s="290" t="s">
        <v>124</v>
      </c>
      <c r="EL50" s="290" t="s">
        <v>124</v>
      </c>
      <c r="EM50" s="290" t="s">
        <v>124</v>
      </c>
      <c r="EN50" s="290" t="s">
        <v>124</v>
      </c>
      <c r="EO50" s="290" t="s">
        <v>124</v>
      </c>
      <c r="EP50" s="290" t="s">
        <v>124</v>
      </c>
      <c r="EQ50" s="290" t="s">
        <v>124</v>
      </c>
      <c r="ER50" s="290" t="s">
        <v>124</v>
      </c>
      <c r="ES50" s="290" t="s">
        <v>124</v>
      </c>
      <c r="ET50" s="290" t="s">
        <v>124</v>
      </c>
      <c r="EU50" s="294" t="s">
        <v>124</v>
      </c>
      <c r="EV50" s="286" t="s">
        <v>1114</v>
      </c>
      <c r="EW50" s="286" t="s">
        <v>1115</v>
      </c>
      <c r="EX50" s="286" t="s">
        <v>1116</v>
      </c>
      <c r="EY50" s="286" t="s">
        <v>1117</v>
      </c>
      <c r="EZ50" s="286" t="s">
        <v>68</v>
      </c>
      <c r="FA50" s="286" t="s">
        <v>68</v>
      </c>
      <c r="FB50" s="286" t="s">
        <v>68</v>
      </c>
      <c r="FC50" s="286" t="s">
        <v>68</v>
      </c>
      <c r="FD50" s="286" t="s">
        <v>1118</v>
      </c>
    </row>
    <row r="51" spans="2:160" s="6" customFormat="1" ht="13.5" customHeight="1" outlineLevel="6" x14ac:dyDescent="0.35">
      <c r="B51" s="295" t="s">
        <v>126</v>
      </c>
      <c r="C51" s="287" t="s">
        <v>134</v>
      </c>
      <c r="D51" s="287" t="s">
        <v>161</v>
      </c>
      <c r="E51" s="287" t="s">
        <v>164</v>
      </c>
      <c r="F51" s="287" t="s">
        <v>159</v>
      </c>
      <c r="G51" s="287" t="s">
        <v>167</v>
      </c>
      <c r="H51" s="296" t="s">
        <v>161</v>
      </c>
      <c r="I51" s="296" t="s">
        <v>158</v>
      </c>
      <c r="J51" s="288" t="s">
        <v>158</v>
      </c>
      <c r="K51" s="287" t="s">
        <v>158</v>
      </c>
      <c r="L51" s="289" t="s">
        <v>158</v>
      </c>
      <c r="M51" s="289" t="s">
        <v>158</v>
      </c>
      <c r="N51" s="289" t="s">
        <v>158</v>
      </c>
      <c r="O51" s="289" t="s">
        <v>158</v>
      </c>
      <c r="P51" s="290">
        <f t="shared" si="0"/>
        <v>0</v>
      </c>
      <c r="Q51" s="290" t="s">
        <v>67</v>
      </c>
      <c r="R51" s="290" t="s">
        <v>124</v>
      </c>
      <c r="S51" s="286" t="s">
        <v>156</v>
      </c>
      <c r="T51" s="286" t="s">
        <v>91</v>
      </c>
      <c r="U51" s="291" t="s">
        <v>97</v>
      </c>
      <c r="V51" s="292"/>
      <c r="W51" s="293"/>
      <c r="X51" s="293"/>
      <c r="Y51" s="293"/>
      <c r="Z51" s="290"/>
      <c r="AA51" s="293" t="s">
        <v>1159</v>
      </c>
      <c r="AB51" s="293"/>
      <c r="AC51" s="293"/>
      <c r="AD51" s="293"/>
      <c r="AE51" s="293"/>
      <c r="AF51" s="293"/>
      <c r="AG51" s="293"/>
      <c r="AH51" s="286" t="s">
        <v>217</v>
      </c>
      <c r="AI51" s="290" t="s">
        <v>124</v>
      </c>
      <c r="AJ51" s="290" t="s">
        <v>124</v>
      </c>
      <c r="AK51" s="290" t="s">
        <v>124</v>
      </c>
      <c r="AL51" s="290" t="s">
        <v>124</v>
      </c>
      <c r="AM51" s="290" t="s">
        <v>124</v>
      </c>
      <c r="AN51" s="290" t="s">
        <v>124</v>
      </c>
      <c r="AO51" s="290" t="s">
        <v>124</v>
      </c>
      <c r="AP51" s="290" t="s">
        <v>124</v>
      </c>
      <c r="AQ51" s="290" t="s">
        <v>124</v>
      </c>
      <c r="AR51" s="290" t="s">
        <v>124</v>
      </c>
      <c r="AS51" s="290" t="s">
        <v>124</v>
      </c>
      <c r="AT51" s="290" t="s">
        <v>124</v>
      </c>
      <c r="AU51" s="290" t="s">
        <v>124</v>
      </c>
      <c r="AV51" s="290" t="s">
        <v>124</v>
      </c>
      <c r="AW51" s="290" t="s">
        <v>124</v>
      </c>
      <c r="AX51" s="290" t="s">
        <v>124</v>
      </c>
      <c r="AY51" s="290" t="s">
        <v>124</v>
      </c>
      <c r="AZ51" s="290" t="s">
        <v>124</v>
      </c>
      <c r="BA51" s="290" t="s">
        <v>124</v>
      </c>
      <c r="BB51" s="290" t="s">
        <v>124</v>
      </c>
      <c r="BC51" s="290" t="s">
        <v>124</v>
      </c>
      <c r="BD51" s="290" t="s">
        <v>124</v>
      </c>
      <c r="BE51" s="290" t="s">
        <v>124</v>
      </c>
      <c r="BF51" s="290" t="s">
        <v>124</v>
      </c>
      <c r="BG51" s="290" t="s">
        <v>124</v>
      </c>
      <c r="BH51" s="290" t="s">
        <v>67</v>
      </c>
      <c r="BI51" s="290" t="s">
        <v>67</v>
      </c>
      <c r="BJ51" s="290" t="s">
        <v>67</v>
      </c>
      <c r="BK51" s="290" t="s">
        <v>124</v>
      </c>
      <c r="BL51" s="290" t="s">
        <v>124</v>
      </c>
      <c r="BM51" s="290" t="s">
        <v>124</v>
      </c>
      <c r="BN51" s="290" t="s">
        <v>124</v>
      </c>
      <c r="BO51" s="290" t="s">
        <v>124</v>
      </c>
      <c r="BP51" s="290" t="s">
        <v>124</v>
      </c>
      <c r="BQ51" s="290" t="s">
        <v>124</v>
      </c>
      <c r="BR51" s="290" t="s">
        <v>124</v>
      </c>
      <c r="BS51" s="290" t="s">
        <v>124</v>
      </c>
      <c r="BT51" s="290" t="s">
        <v>124</v>
      </c>
      <c r="BU51" s="290" t="s">
        <v>124</v>
      </c>
      <c r="BV51" s="290" t="s">
        <v>124</v>
      </c>
      <c r="BW51" s="290" t="s">
        <v>124</v>
      </c>
      <c r="BX51" s="290" t="s">
        <v>124</v>
      </c>
      <c r="BY51" s="290" t="s">
        <v>124</v>
      </c>
      <c r="BZ51" s="290" t="s">
        <v>124</v>
      </c>
      <c r="CA51" s="290" t="s">
        <v>124</v>
      </c>
      <c r="CB51" s="290" t="s">
        <v>124</v>
      </c>
      <c r="CC51" s="290" t="s">
        <v>124</v>
      </c>
      <c r="CD51" s="290" t="s">
        <v>124</v>
      </c>
      <c r="CE51" s="290" t="s">
        <v>124</v>
      </c>
      <c r="CF51" s="290" t="s">
        <v>124</v>
      </c>
      <c r="CG51" s="290" t="s">
        <v>124</v>
      </c>
      <c r="CH51" s="290" t="s">
        <v>124</v>
      </c>
      <c r="CI51" s="290" t="s">
        <v>124</v>
      </c>
      <c r="CJ51" s="290" t="s">
        <v>124</v>
      </c>
      <c r="CK51" s="290" t="s">
        <v>124</v>
      </c>
      <c r="CL51" s="290" t="s">
        <v>124</v>
      </c>
      <c r="CM51" s="290" t="s">
        <v>124</v>
      </c>
      <c r="CN51" s="290" t="s">
        <v>124</v>
      </c>
      <c r="CO51" s="290" t="s">
        <v>124</v>
      </c>
      <c r="CP51" s="290" t="s">
        <v>124</v>
      </c>
      <c r="CQ51" s="290" t="s">
        <v>124</v>
      </c>
      <c r="CR51" s="290" t="s">
        <v>124</v>
      </c>
      <c r="CS51" s="290" t="s">
        <v>124</v>
      </c>
      <c r="CT51" s="290" t="s">
        <v>124</v>
      </c>
      <c r="CU51" s="290" t="s">
        <v>124</v>
      </c>
      <c r="CV51" s="290" t="s">
        <v>124</v>
      </c>
      <c r="CW51" s="290" t="s">
        <v>124</v>
      </c>
      <c r="CX51" s="290" t="s">
        <v>124</v>
      </c>
      <c r="CY51" s="290" t="s">
        <v>124</v>
      </c>
      <c r="CZ51" s="290" t="s">
        <v>124</v>
      </c>
      <c r="DA51" s="290" t="s">
        <v>124</v>
      </c>
      <c r="DB51" s="290" t="s">
        <v>124</v>
      </c>
      <c r="DC51" s="290" t="s">
        <v>124</v>
      </c>
      <c r="DD51" s="290" t="s">
        <v>124</v>
      </c>
      <c r="DE51" s="290" t="s">
        <v>124</v>
      </c>
      <c r="DF51" s="290" t="s">
        <v>124</v>
      </c>
      <c r="DG51" s="290" t="s">
        <v>124</v>
      </c>
      <c r="DH51" s="290" t="s">
        <v>124</v>
      </c>
      <c r="DI51" s="290" t="s">
        <v>124</v>
      </c>
      <c r="DJ51" s="290" t="s">
        <v>124</v>
      </c>
      <c r="DK51" s="290" t="s">
        <v>124</v>
      </c>
      <c r="DL51" s="290" t="s">
        <v>124</v>
      </c>
      <c r="DM51" s="290" t="s">
        <v>124</v>
      </c>
      <c r="DN51" s="290" t="s">
        <v>124</v>
      </c>
      <c r="DO51" s="290" t="s">
        <v>124</v>
      </c>
      <c r="DP51" s="290" t="s">
        <v>124</v>
      </c>
      <c r="DQ51" s="290" t="s">
        <v>124</v>
      </c>
      <c r="DR51" s="290" t="s">
        <v>124</v>
      </c>
      <c r="DS51" s="290" t="s">
        <v>124</v>
      </c>
      <c r="DT51" s="290" t="s">
        <v>124</v>
      </c>
      <c r="DU51" s="290" t="s">
        <v>124</v>
      </c>
      <c r="DV51" s="290" t="s">
        <v>124</v>
      </c>
      <c r="DW51" s="290" t="s">
        <v>124</v>
      </c>
      <c r="DX51" s="290" t="s">
        <v>124</v>
      </c>
      <c r="DY51" s="290" t="s">
        <v>124</v>
      </c>
      <c r="DZ51" s="290" t="s">
        <v>124</v>
      </c>
      <c r="EA51" s="290" t="s">
        <v>124</v>
      </c>
      <c r="EB51" s="290" t="s">
        <v>124</v>
      </c>
      <c r="EC51" s="290" t="s">
        <v>124</v>
      </c>
      <c r="ED51" s="290" t="s">
        <v>124</v>
      </c>
      <c r="EE51" s="290" t="s">
        <v>124</v>
      </c>
      <c r="EF51" s="290" t="s">
        <v>124</v>
      </c>
      <c r="EG51" s="290" t="s">
        <v>124</v>
      </c>
      <c r="EH51" s="290" t="s">
        <v>124</v>
      </c>
      <c r="EI51" s="290" t="s">
        <v>124</v>
      </c>
      <c r="EJ51" s="290" t="s">
        <v>124</v>
      </c>
      <c r="EK51" s="290" t="s">
        <v>124</v>
      </c>
      <c r="EL51" s="290" t="s">
        <v>124</v>
      </c>
      <c r="EM51" s="290" t="s">
        <v>124</v>
      </c>
      <c r="EN51" s="290" t="s">
        <v>124</v>
      </c>
      <c r="EO51" s="290" t="s">
        <v>124</v>
      </c>
      <c r="EP51" s="290" t="s">
        <v>124</v>
      </c>
      <c r="EQ51" s="290" t="s">
        <v>124</v>
      </c>
      <c r="ER51" s="290" t="s">
        <v>124</v>
      </c>
      <c r="ES51" s="290" t="s">
        <v>124</v>
      </c>
      <c r="ET51" s="290" t="s">
        <v>124</v>
      </c>
      <c r="EU51" s="294" t="s">
        <v>124</v>
      </c>
      <c r="EV51" s="286" t="s">
        <v>1114</v>
      </c>
      <c r="EW51" s="286" t="s">
        <v>1115</v>
      </c>
      <c r="EX51" s="286" t="s">
        <v>1116</v>
      </c>
      <c r="EY51" s="286" t="s">
        <v>1117</v>
      </c>
      <c r="EZ51" s="286" t="s">
        <v>68</v>
      </c>
      <c r="FA51" s="286" t="s">
        <v>68</v>
      </c>
      <c r="FB51" s="286" t="s">
        <v>68</v>
      </c>
      <c r="FC51" s="286" t="s">
        <v>68</v>
      </c>
      <c r="FD51" s="286" t="s">
        <v>1118</v>
      </c>
    </row>
    <row r="52" spans="2:160" s="6" customFormat="1" ht="13.5" customHeight="1" outlineLevel="6" x14ac:dyDescent="0.35">
      <c r="B52" s="295" t="s">
        <v>126</v>
      </c>
      <c r="C52" s="287" t="s">
        <v>134</v>
      </c>
      <c r="D52" s="287" t="s">
        <v>161</v>
      </c>
      <c r="E52" s="287" t="s">
        <v>164</v>
      </c>
      <c r="F52" s="287" t="s">
        <v>159</v>
      </c>
      <c r="G52" s="287" t="s">
        <v>167</v>
      </c>
      <c r="H52" s="296" t="s">
        <v>162</v>
      </c>
      <c r="I52" s="296" t="s">
        <v>158</v>
      </c>
      <c r="J52" s="288" t="s">
        <v>158</v>
      </c>
      <c r="K52" s="287" t="s">
        <v>158</v>
      </c>
      <c r="L52" s="289" t="s">
        <v>158</v>
      </c>
      <c r="M52" s="289" t="s">
        <v>158</v>
      </c>
      <c r="N52" s="289" t="s">
        <v>158</v>
      </c>
      <c r="O52" s="289" t="s">
        <v>158</v>
      </c>
      <c r="P52" s="290">
        <f t="shared" si="0"/>
        <v>0</v>
      </c>
      <c r="Q52" s="290" t="s">
        <v>67</v>
      </c>
      <c r="R52" s="290" t="s">
        <v>124</v>
      </c>
      <c r="S52" s="286" t="s">
        <v>156</v>
      </c>
      <c r="T52" s="286" t="s">
        <v>91</v>
      </c>
      <c r="U52" s="291" t="s">
        <v>97</v>
      </c>
      <c r="V52" s="292"/>
      <c r="W52" s="293"/>
      <c r="X52" s="293"/>
      <c r="Y52" s="293"/>
      <c r="Z52" s="290"/>
      <c r="AA52" s="293" t="s">
        <v>1160</v>
      </c>
      <c r="AB52" s="293"/>
      <c r="AC52" s="293"/>
      <c r="AD52" s="293"/>
      <c r="AE52" s="293"/>
      <c r="AF52" s="293"/>
      <c r="AG52" s="293"/>
      <c r="AH52" s="286" t="s">
        <v>218</v>
      </c>
      <c r="AI52" s="290" t="s">
        <v>124</v>
      </c>
      <c r="AJ52" s="290" t="s">
        <v>124</v>
      </c>
      <c r="AK52" s="290" t="s">
        <v>124</v>
      </c>
      <c r="AL52" s="290" t="s">
        <v>124</v>
      </c>
      <c r="AM52" s="290" t="s">
        <v>124</v>
      </c>
      <c r="AN52" s="290" t="s">
        <v>124</v>
      </c>
      <c r="AO52" s="290" t="s">
        <v>124</v>
      </c>
      <c r="AP52" s="290" t="s">
        <v>124</v>
      </c>
      <c r="AQ52" s="290" t="s">
        <v>124</v>
      </c>
      <c r="AR52" s="290" t="s">
        <v>124</v>
      </c>
      <c r="AS52" s="290" t="s">
        <v>124</v>
      </c>
      <c r="AT52" s="290" t="s">
        <v>124</v>
      </c>
      <c r="AU52" s="290" t="s">
        <v>124</v>
      </c>
      <c r="AV52" s="290" t="s">
        <v>124</v>
      </c>
      <c r="AW52" s="290" t="s">
        <v>124</v>
      </c>
      <c r="AX52" s="290" t="s">
        <v>124</v>
      </c>
      <c r="AY52" s="290" t="s">
        <v>124</v>
      </c>
      <c r="AZ52" s="290" t="s">
        <v>124</v>
      </c>
      <c r="BA52" s="290" t="s">
        <v>124</v>
      </c>
      <c r="BB52" s="290" t="s">
        <v>124</v>
      </c>
      <c r="BC52" s="290" t="s">
        <v>124</v>
      </c>
      <c r="BD52" s="290" t="s">
        <v>124</v>
      </c>
      <c r="BE52" s="290" t="s">
        <v>124</v>
      </c>
      <c r="BF52" s="290" t="s">
        <v>124</v>
      </c>
      <c r="BG52" s="290" t="s">
        <v>124</v>
      </c>
      <c r="BH52" s="290" t="s">
        <v>67</v>
      </c>
      <c r="BI52" s="290" t="s">
        <v>67</v>
      </c>
      <c r="BJ52" s="290" t="s">
        <v>67</v>
      </c>
      <c r="BK52" s="290" t="s">
        <v>124</v>
      </c>
      <c r="BL52" s="290" t="s">
        <v>124</v>
      </c>
      <c r="BM52" s="290" t="s">
        <v>124</v>
      </c>
      <c r="BN52" s="290" t="s">
        <v>124</v>
      </c>
      <c r="BO52" s="290" t="s">
        <v>124</v>
      </c>
      <c r="BP52" s="290" t="s">
        <v>124</v>
      </c>
      <c r="BQ52" s="290" t="s">
        <v>124</v>
      </c>
      <c r="BR52" s="290" t="s">
        <v>124</v>
      </c>
      <c r="BS52" s="290" t="s">
        <v>124</v>
      </c>
      <c r="BT52" s="290" t="s">
        <v>124</v>
      </c>
      <c r="BU52" s="290" t="s">
        <v>124</v>
      </c>
      <c r="BV52" s="290" t="s">
        <v>124</v>
      </c>
      <c r="BW52" s="290" t="s">
        <v>124</v>
      </c>
      <c r="BX52" s="290" t="s">
        <v>124</v>
      </c>
      <c r="BY52" s="290" t="s">
        <v>124</v>
      </c>
      <c r="BZ52" s="290" t="s">
        <v>124</v>
      </c>
      <c r="CA52" s="290" t="s">
        <v>124</v>
      </c>
      <c r="CB52" s="290" t="s">
        <v>124</v>
      </c>
      <c r="CC52" s="290" t="s">
        <v>124</v>
      </c>
      <c r="CD52" s="290" t="s">
        <v>124</v>
      </c>
      <c r="CE52" s="290" t="s">
        <v>124</v>
      </c>
      <c r="CF52" s="290" t="s">
        <v>124</v>
      </c>
      <c r="CG52" s="290" t="s">
        <v>124</v>
      </c>
      <c r="CH52" s="290" t="s">
        <v>124</v>
      </c>
      <c r="CI52" s="290" t="s">
        <v>124</v>
      </c>
      <c r="CJ52" s="290" t="s">
        <v>124</v>
      </c>
      <c r="CK52" s="290" t="s">
        <v>124</v>
      </c>
      <c r="CL52" s="290" t="s">
        <v>124</v>
      </c>
      <c r="CM52" s="290" t="s">
        <v>124</v>
      </c>
      <c r="CN52" s="290" t="s">
        <v>124</v>
      </c>
      <c r="CO52" s="290" t="s">
        <v>124</v>
      </c>
      <c r="CP52" s="290" t="s">
        <v>124</v>
      </c>
      <c r="CQ52" s="290" t="s">
        <v>124</v>
      </c>
      <c r="CR52" s="290" t="s">
        <v>124</v>
      </c>
      <c r="CS52" s="290" t="s">
        <v>124</v>
      </c>
      <c r="CT52" s="290" t="s">
        <v>124</v>
      </c>
      <c r="CU52" s="290" t="s">
        <v>124</v>
      </c>
      <c r="CV52" s="290" t="s">
        <v>124</v>
      </c>
      <c r="CW52" s="290" t="s">
        <v>124</v>
      </c>
      <c r="CX52" s="290" t="s">
        <v>124</v>
      </c>
      <c r="CY52" s="290" t="s">
        <v>124</v>
      </c>
      <c r="CZ52" s="290" t="s">
        <v>124</v>
      </c>
      <c r="DA52" s="290" t="s">
        <v>124</v>
      </c>
      <c r="DB52" s="290" t="s">
        <v>124</v>
      </c>
      <c r="DC52" s="290" t="s">
        <v>124</v>
      </c>
      <c r="DD52" s="290" t="s">
        <v>124</v>
      </c>
      <c r="DE52" s="290" t="s">
        <v>124</v>
      </c>
      <c r="DF52" s="290" t="s">
        <v>124</v>
      </c>
      <c r="DG52" s="290" t="s">
        <v>124</v>
      </c>
      <c r="DH52" s="290" t="s">
        <v>124</v>
      </c>
      <c r="DI52" s="290" t="s">
        <v>124</v>
      </c>
      <c r="DJ52" s="290" t="s">
        <v>124</v>
      </c>
      <c r="DK52" s="290" t="s">
        <v>124</v>
      </c>
      <c r="DL52" s="290" t="s">
        <v>124</v>
      </c>
      <c r="DM52" s="290" t="s">
        <v>124</v>
      </c>
      <c r="DN52" s="290" t="s">
        <v>124</v>
      </c>
      <c r="DO52" s="290" t="s">
        <v>124</v>
      </c>
      <c r="DP52" s="290" t="s">
        <v>124</v>
      </c>
      <c r="DQ52" s="290" t="s">
        <v>124</v>
      </c>
      <c r="DR52" s="290" t="s">
        <v>124</v>
      </c>
      <c r="DS52" s="290" t="s">
        <v>124</v>
      </c>
      <c r="DT52" s="290" t="s">
        <v>124</v>
      </c>
      <c r="DU52" s="290" t="s">
        <v>124</v>
      </c>
      <c r="DV52" s="290" t="s">
        <v>124</v>
      </c>
      <c r="DW52" s="290" t="s">
        <v>124</v>
      </c>
      <c r="DX52" s="290" t="s">
        <v>124</v>
      </c>
      <c r="DY52" s="290" t="s">
        <v>124</v>
      </c>
      <c r="DZ52" s="290" t="s">
        <v>124</v>
      </c>
      <c r="EA52" s="290" t="s">
        <v>124</v>
      </c>
      <c r="EB52" s="290" t="s">
        <v>124</v>
      </c>
      <c r="EC52" s="290" t="s">
        <v>124</v>
      </c>
      <c r="ED52" s="290" t="s">
        <v>124</v>
      </c>
      <c r="EE52" s="290" t="s">
        <v>124</v>
      </c>
      <c r="EF52" s="290" t="s">
        <v>124</v>
      </c>
      <c r="EG52" s="290" t="s">
        <v>124</v>
      </c>
      <c r="EH52" s="290" t="s">
        <v>124</v>
      </c>
      <c r="EI52" s="290" t="s">
        <v>124</v>
      </c>
      <c r="EJ52" s="290" t="s">
        <v>124</v>
      </c>
      <c r="EK52" s="290" t="s">
        <v>124</v>
      </c>
      <c r="EL52" s="290" t="s">
        <v>124</v>
      </c>
      <c r="EM52" s="290" t="s">
        <v>124</v>
      </c>
      <c r="EN52" s="290" t="s">
        <v>124</v>
      </c>
      <c r="EO52" s="290" t="s">
        <v>124</v>
      </c>
      <c r="EP52" s="290" t="s">
        <v>124</v>
      </c>
      <c r="EQ52" s="290" t="s">
        <v>124</v>
      </c>
      <c r="ER52" s="290" t="s">
        <v>124</v>
      </c>
      <c r="ES52" s="290" t="s">
        <v>124</v>
      </c>
      <c r="ET52" s="290" t="s">
        <v>124</v>
      </c>
      <c r="EU52" s="294" t="s">
        <v>124</v>
      </c>
      <c r="EV52" s="286" t="s">
        <v>1114</v>
      </c>
      <c r="EW52" s="286" t="s">
        <v>1115</v>
      </c>
      <c r="EX52" s="286" t="s">
        <v>1116</v>
      </c>
      <c r="EY52" s="286" t="s">
        <v>1117</v>
      </c>
      <c r="EZ52" s="286" t="s">
        <v>68</v>
      </c>
      <c r="FA52" s="286" t="s">
        <v>68</v>
      </c>
      <c r="FB52" s="286" t="s">
        <v>68</v>
      </c>
      <c r="FC52" s="286" t="s">
        <v>68</v>
      </c>
      <c r="FD52" s="286" t="s">
        <v>1118</v>
      </c>
    </row>
    <row r="56" spans="2:160" s="6" customFormat="1" ht="13.5" customHeight="1" outlineLevel="1" x14ac:dyDescent="0.35">
      <c r="B56" s="286" t="s">
        <v>68</v>
      </c>
      <c r="C56" s="287" t="s">
        <v>134</v>
      </c>
      <c r="D56" s="287" t="s">
        <v>159</v>
      </c>
      <c r="E56" s="287" t="s">
        <v>159</v>
      </c>
      <c r="F56" s="287" t="s">
        <v>158</v>
      </c>
      <c r="G56" s="287" t="s">
        <v>158</v>
      </c>
      <c r="H56" s="287" t="s">
        <v>158</v>
      </c>
      <c r="I56" s="296" t="s">
        <v>158</v>
      </c>
      <c r="J56" s="288" t="s">
        <v>158</v>
      </c>
      <c r="K56" s="287" t="s">
        <v>158</v>
      </c>
      <c r="L56" s="289" t="s">
        <v>158</v>
      </c>
      <c r="M56" s="289" t="s">
        <v>158</v>
      </c>
      <c r="N56" s="289" t="s">
        <v>158</v>
      </c>
      <c r="O56" s="289" t="s">
        <v>158</v>
      </c>
      <c r="P56" s="290">
        <f t="shared" ref="P56:P67" si="1">LEN(A56)</f>
        <v>0</v>
      </c>
      <c r="Q56" s="290" t="s">
        <v>124</v>
      </c>
      <c r="R56" s="290" t="s">
        <v>124</v>
      </c>
      <c r="S56" s="290" t="s">
        <v>68</v>
      </c>
      <c r="T56" s="286" t="s">
        <v>133</v>
      </c>
      <c r="U56" s="295" t="s">
        <v>1293</v>
      </c>
      <c r="V56" s="292"/>
      <c r="W56" s="293"/>
      <c r="X56" s="293" t="s">
        <v>1294</v>
      </c>
      <c r="Y56" s="293"/>
      <c r="Z56" s="293"/>
      <c r="AA56" s="293"/>
      <c r="AB56" s="293"/>
      <c r="AC56" s="293"/>
      <c r="AD56" s="293"/>
      <c r="AE56" s="293"/>
      <c r="AF56" s="293"/>
      <c r="AG56" s="293"/>
      <c r="AH56" s="286" t="s">
        <v>1295</v>
      </c>
      <c r="AI56" s="290" t="s">
        <v>68</v>
      </c>
      <c r="AJ56" s="290" t="s">
        <v>68</v>
      </c>
      <c r="AK56" s="290" t="s">
        <v>68</v>
      </c>
      <c r="AL56" s="290" t="s">
        <v>68</v>
      </c>
      <c r="AM56" s="290" t="s">
        <v>68</v>
      </c>
      <c r="AN56" s="290" t="s">
        <v>68</v>
      </c>
      <c r="AO56" s="290" t="s">
        <v>68</v>
      </c>
      <c r="AP56" s="290" t="s">
        <v>68</v>
      </c>
      <c r="AQ56" s="290" t="s">
        <v>68</v>
      </c>
      <c r="AR56" s="290" t="s">
        <v>68</v>
      </c>
      <c r="AS56" s="290" t="s">
        <v>68</v>
      </c>
      <c r="AT56" s="290" t="s">
        <v>68</v>
      </c>
      <c r="AU56" s="290" t="s">
        <v>68</v>
      </c>
      <c r="AV56" s="290" t="s">
        <v>68</v>
      </c>
      <c r="AW56" s="290" t="s">
        <v>68</v>
      </c>
      <c r="AX56" s="290" t="s">
        <v>68</v>
      </c>
      <c r="AY56" s="290" t="s">
        <v>68</v>
      </c>
      <c r="AZ56" s="290" t="s">
        <v>68</v>
      </c>
      <c r="BA56" s="290" t="s">
        <v>68</v>
      </c>
      <c r="BB56" s="290" t="s">
        <v>68</v>
      </c>
      <c r="BC56" s="290" t="s">
        <v>68</v>
      </c>
      <c r="BD56" s="290" t="s">
        <v>68</v>
      </c>
      <c r="BE56" s="290" t="s">
        <v>68</v>
      </c>
      <c r="BF56" s="290" t="s">
        <v>68</v>
      </c>
      <c r="BG56" s="290" t="s">
        <v>68</v>
      </c>
      <c r="BH56" s="290" t="s">
        <v>68</v>
      </c>
      <c r="BI56" s="290" t="s">
        <v>68</v>
      </c>
      <c r="BJ56" s="290" t="s">
        <v>68</v>
      </c>
      <c r="BK56" s="290" t="s">
        <v>68</v>
      </c>
      <c r="BL56" s="290" t="s">
        <v>68</v>
      </c>
      <c r="BM56" s="290" t="s">
        <v>68</v>
      </c>
      <c r="BN56" s="290" t="s">
        <v>68</v>
      </c>
      <c r="BO56" s="290" t="s">
        <v>68</v>
      </c>
      <c r="BP56" s="290" t="s">
        <v>68</v>
      </c>
      <c r="BQ56" s="290" t="s">
        <v>68</v>
      </c>
      <c r="BR56" s="290" t="s">
        <v>68</v>
      </c>
      <c r="BS56" s="290" t="s">
        <v>68</v>
      </c>
      <c r="BT56" s="290" t="s">
        <v>68</v>
      </c>
      <c r="BU56" s="290" t="s">
        <v>68</v>
      </c>
      <c r="BV56" s="290" t="s">
        <v>68</v>
      </c>
      <c r="BW56" s="290" t="s">
        <v>68</v>
      </c>
      <c r="BX56" s="290" t="s">
        <v>68</v>
      </c>
      <c r="BY56" s="290" t="s">
        <v>68</v>
      </c>
      <c r="BZ56" s="290" t="s">
        <v>68</v>
      </c>
      <c r="CA56" s="290" t="s">
        <v>68</v>
      </c>
      <c r="CB56" s="290" t="s">
        <v>68</v>
      </c>
      <c r="CC56" s="290" t="s">
        <v>68</v>
      </c>
      <c r="CD56" s="290" t="s">
        <v>68</v>
      </c>
      <c r="CE56" s="290" t="s">
        <v>68</v>
      </c>
      <c r="CF56" s="290" t="s">
        <v>68</v>
      </c>
      <c r="CG56" s="290" t="s">
        <v>68</v>
      </c>
      <c r="CH56" s="290" t="s">
        <v>68</v>
      </c>
      <c r="CI56" s="290" t="s">
        <v>68</v>
      </c>
      <c r="CJ56" s="290" t="s">
        <v>68</v>
      </c>
      <c r="CK56" s="290" t="s">
        <v>68</v>
      </c>
      <c r="CL56" s="290" t="s">
        <v>68</v>
      </c>
      <c r="CM56" s="290" t="s">
        <v>68</v>
      </c>
      <c r="CN56" s="290" t="s">
        <v>68</v>
      </c>
      <c r="CO56" s="290" t="s">
        <v>68</v>
      </c>
      <c r="CP56" s="290" t="s">
        <v>68</v>
      </c>
      <c r="CQ56" s="290" t="s">
        <v>68</v>
      </c>
      <c r="CR56" s="290" t="s">
        <v>68</v>
      </c>
      <c r="CS56" s="290" t="s">
        <v>68</v>
      </c>
      <c r="CT56" s="290" t="s">
        <v>68</v>
      </c>
      <c r="CU56" s="290" t="s">
        <v>68</v>
      </c>
      <c r="CV56" s="290" t="s">
        <v>68</v>
      </c>
      <c r="CW56" s="290" t="s">
        <v>68</v>
      </c>
      <c r="CX56" s="290" t="s">
        <v>68</v>
      </c>
      <c r="CY56" s="290" t="s">
        <v>68</v>
      </c>
      <c r="CZ56" s="290" t="s">
        <v>68</v>
      </c>
      <c r="DA56" s="290" t="s">
        <v>68</v>
      </c>
      <c r="DB56" s="290" t="s">
        <v>68</v>
      </c>
      <c r="DC56" s="290" t="s">
        <v>68</v>
      </c>
      <c r="DD56" s="290" t="s">
        <v>68</v>
      </c>
      <c r="DE56" s="290" t="s">
        <v>68</v>
      </c>
      <c r="DF56" s="290" t="s">
        <v>68</v>
      </c>
      <c r="DG56" s="290" t="s">
        <v>68</v>
      </c>
      <c r="DH56" s="290" t="s">
        <v>68</v>
      </c>
      <c r="DI56" s="290" t="s">
        <v>68</v>
      </c>
      <c r="DJ56" s="290" t="s">
        <v>68</v>
      </c>
      <c r="DK56" s="290" t="s">
        <v>68</v>
      </c>
      <c r="DL56" s="290" t="s">
        <v>68</v>
      </c>
      <c r="DM56" s="290" t="s">
        <v>68</v>
      </c>
      <c r="DN56" s="290" t="s">
        <v>68</v>
      </c>
      <c r="DO56" s="290" t="s">
        <v>68</v>
      </c>
      <c r="DP56" s="290" t="s">
        <v>68</v>
      </c>
      <c r="DQ56" s="290" t="s">
        <v>68</v>
      </c>
      <c r="DR56" s="290" t="s">
        <v>68</v>
      </c>
      <c r="DS56" s="290" t="s">
        <v>68</v>
      </c>
      <c r="DT56" s="290" t="s">
        <v>68</v>
      </c>
      <c r="DU56" s="290" t="s">
        <v>68</v>
      </c>
      <c r="DV56" s="290" t="s">
        <v>68</v>
      </c>
      <c r="DW56" s="290" t="s">
        <v>68</v>
      </c>
      <c r="DX56" s="290" t="s">
        <v>68</v>
      </c>
      <c r="DY56" s="290" t="s">
        <v>68</v>
      </c>
      <c r="DZ56" s="290" t="s">
        <v>68</v>
      </c>
      <c r="EA56" s="290" t="s">
        <v>68</v>
      </c>
      <c r="EB56" s="290" t="s">
        <v>68</v>
      </c>
      <c r="EC56" s="290" t="s">
        <v>68</v>
      </c>
      <c r="ED56" s="290" t="s">
        <v>68</v>
      </c>
      <c r="EE56" s="290" t="s">
        <v>68</v>
      </c>
      <c r="EF56" s="290" t="s">
        <v>68</v>
      </c>
      <c r="EG56" s="290" t="s">
        <v>68</v>
      </c>
      <c r="EH56" s="290" t="s">
        <v>68</v>
      </c>
      <c r="EI56" s="290" t="s">
        <v>68</v>
      </c>
      <c r="EJ56" s="290" t="s">
        <v>68</v>
      </c>
      <c r="EK56" s="290" t="s">
        <v>68</v>
      </c>
      <c r="EL56" s="290" t="s">
        <v>68</v>
      </c>
      <c r="EM56" s="290" t="s">
        <v>68</v>
      </c>
      <c r="EN56" s="290" t="s">
        <v>68</v>
      </c>
      <c r="EO56" s="290" t="s">
        <v>68</v>
      </c>
      <c r="EP56" s="290" t="s">
        <v>68</v>
      </c>
      <c r="EQ56" s="290" t="s">
        <v>68</v>
      </c>
      <c r="ER56" s="290" t="s">
        <v>68</v>
      </c>
      <c r="ES56" s="290" t="s">
        <v>68</v>
      </c>
      <c r="ET56" s="290" t="s">
        <v>68</v>
      </c>
      <c r="EU56" s="294" t="s">
        <v>68</v>
      </c>
      <c r="EV56" s="286" t="s">
        <v>68</v>
      </c>
      <c r="EW56" s="286" t="s">
        <v>68</v>
      </c>
      <c r="EX56" s="286" t="s">
        <v>68</v>
      </c>
      <c r="EY56" s="286" t="s">
        <v>68</v>
      </c>
      <c r="EZ56" s="286" t="s">
        <v>68</v>
      </c>
      <c r="FA56" s="286" t="s">
        <v>68</v>
      </c>
      <c r="FB56" s="286" t="s">
        <v>68</v>
      </c>
      <c r="FC56" s="286" t="s">
        <v>68</v>
      </c>
      <c r="FD56" s="286" t="s">
        <v>68</v>
      </c>
    </row>
    <row r="57" spans="2:160" s="6" customFormat="1" ht="13.5" customHeight="1" outlineLevel="2" x14ac:dyDescent="0.35">
      <c r="B57" s="295" t="s">
        <v>1296</v>
      </c>
      <c r="C57" s="287" t="s">
        <v>134</v>
      </c>
      <c r="D57" s="287" t="s">
        <v>159</v>
      </c>
      <c r="E57" s="287" t="s">
        <v>159</v>
      </c>
      <c r="F57" s="296" t="s">
        <v>159</v>
      </c>
      <c r="G57" s="287" t="s">
        <v>158</v>
      </c>
      <c r="H57" s="287" t="s">
        <v>158</v>
      </c>
      <c r="I57" s="296" t="s">
        <v>158</v>
      </c>
      <c r="J57" s="288" t="s">
        <v>158</v>
      </c>
      <c r="K57" s="287" t="s">
        <v>158</v>
      </c>
      <c r="L57" s="289" t="s">
        <v>158</v>
      </c>
      <c r="M57" s="289" t="s">
        <v>158</v>
      </c>
      <c r="N57" s="289" t="s">
        <v>158</v>
      </c>
      <c r="O57" s="289" t="s">
        <v>158</v>
      </c>
      <c r="P57" s="290">
        <f t="shared" si="1"/>
        <v>0</v>
      </c>
      <c r="Q57" s="290" t="s">
        <v>67</v>
      </c>
      <c r="R57" s="290" t="s">
        <v>124</v>
      </c>
      <c r="S57" s="290" t="s">
        <v>68</v>
      </c>
      <c r="T57" s="286" t="s">
        <v>133</v>
      </c>
      <c r="U57" s="295" t="s">
        <v>1297</v>
      </c>
      <c r="V57" s="292"/>
      <c r="W57" s="293"/>
      <c r="X57" s="293"/>
      <c r="Y57" s="293" t="s">
        <v>1298</v>
      </c>
      <c r="Z57" s="293"/>
      <c r="AA57" s="293"/>
      <c r="AB57" s="293"/>
      <c r="AC57" s="293"/>
      <c r="AD57" s="293"/>
      <c r="AE57" s="293"/>
      <c r="AF57" s="293"/>
      <c r="AG57" s="293"/>
      <c r="AH57" s="286" t="s">
        <v>1299</v>
      </c>
      <c r="AI57" s="290" t="s">
        <v>124</v>
      </c>
      <c r="AJ57" s="290" t="s">
        <v>124</v>
      </c>
      <c r="AK57" s="290" t="s">
        <v>124</v>
      </c>
      <c r="AL57" s="290" t="s">
        <v>124</v>
      </c>
      <c r="AM57" s="290" t="s">
        <v>124</v>
      </c>
      <c r="AN57" s="290" t="s">
        <v>124</v>
      </c>
      <c r="AO57" s="290" t="s">
        <v>124</v>
      </c>
      <c r="AP57" s="290" t="s">
        <v>124</v>
      </c>
      <c r="AQ57" s="290" t="s">
        <v>124</v>
      </c>
      <c r="AR57" s="290" t="s">
        <v>124</v>
      </c>
      <c r="AS57" s="290" t="s">
        <v>124</v>
      </c>
      <c r="AT57" s="290" t="s">
        <v>124</v>
      </c>
      <c r="AU57" s="290" t="s">
        <v>124</v>
      </c>
      <c r="AV57" s="290" t="s">
        <v>124</v>
      </c>
      <c r="AW57" s="290" t="s">
        <v>124</v>
      </c>
      <c r="AX57" s="290" t="s">
        <v>124</v>
      </c>
      <c r="AY57" s="290" t="s">
        <v>124</v>
      </c>
      <c r="AZ57" s="290" t="s">
        <v>124</v>
      </c>
      <c r="BA57" s="290" t="s">
        <v>124</v>
      </c>
      <c r="BB57" s="290" t="s">
        <v>124</v>
      </c>
      <c r="BC57" s="290" t="s">
        <v>124</v>
      </c>
      <c r="BD57" s="290" t="s">
        <v>124</v>
      </c>
      <c r="BE57" s="290" t="s">
        <v>124</v>
      </c>
      <c r="BF57" s="290" t="s">
        <v>124</v>
      </c>
      <c r="BG57" s="290" t="s">
        <v>124</v>
      </c>
      <c r="BH57" s="290" t="s">
        <v>67</v>
      </c>
      <c r="BI57" s="290" t="s">
        <v>67</v>
      </c>
      <c r="BJ57" s="290" t="s">
        <v>67</v>
      </c>
      <c r="BK57" s="290" t="s">
        <v>124</v>
      </c>
      <c r="BL57" s="290" t="s">
        <v>124</v>
      </c>
      <c r="BM57" s="290" t="s">
        <v>124</v>
      </c>
      <c r="BN57" s="290" t="s">
        <v>124</v>
      </c>
      <c r="BO57" s="290" t="s">
        <v>124</v>
      </c>
      <c r="BP57" s="290" t="s">
        <v>124</v>
      </c>
      <c r="BQ57" s="290" t="s">
        <v>124</v>
      </c>
      <c r="BR57" s="290" t="s">
        <v>124</v>
      </c>
      <c r="BS57" s="290" t="s">
        <v>124</v>
      </c>
      <c r="BT57" s="290" t="s">
        <v>124</v>
      </c>
      <c r="BU57" s="290" t="s">
        <v>124</v>
      </c>
      <c r="BV57" s="290" t="s">
        <v>124</v>
      </c>
      <c r="BW57" s="290" t="s">
        <v>124</v>
      </c>
      <c r="BX57" s="290" t="s">
        <v>124</v>
      </c>
      <c r="BY57" s="290" t="s">
        <v>124</v>
      </c>
      <c r="BZ57" s="290" t="s">
        <v>124</v>
      </c>
      <c r="CA57" s="290" t="s">
        <v>124</v>
      </c>
      <c r="CB57" s="290" t="s">
        <v>124</v>
      </c>
      <c r="CC57" s="290" t="s">
        <v>124</v>
      </c>
      <c r="CD57" s="290" t="s">
        <v>124</v>
      </c>
      <c r="CE57" s="290" t="s">
        <v>124</v>
      </c>
      <c r="CF57" s="290" t="s">
        <v>124</v>
      </c>
      <c r="CG57" s="290" t="s">
        <v>124</v>
      </c>
      <c r="CH57" s="290" t="s">
        <v>124</v>
      </c>
      <c r="CI57" s="290" t="s">
        <v>124</v>
      </c>
      <c r="CJ57" s="290" t="s">
        <v>68</v>
      </c>
      <c r="CK57" s="290" t="s">
        <v>68</v>
      </c>
      <c r="CL57" s="290" t="s">
        <v>124</v>
      </c>
      <c r="CM57" s="290" t="s">
        <v>124</v>
      </c>
      <c r="CN57" s="290" t="s">
        <v>124</v>
      </c>
      <c r="CO57" s="290" t="s">
        <v>124</v>
      </c>
      <c r="CP57" s="290" t="s">
        <v>124</v>
      </c>
      <c r="CQ57" s="290" t="s">
        <v>124</v>
      </c>
      <c r="CR57" s="290" t="s">
        <v>124</v>
      </c>
      <c r="CS57" s="290" t="s">
        <v>124</v>
      </c>
      <c r="CT57" s="290" t="s">
        <v>124</v>
      </c>
      <c r="CU57" s="290" t="s">
        <v>124</v>
      </c>
      <c r="CV57" s="290" t="s">
        <v>124</v>
      </c>
      <c r="CW57" s="290" t="s">
        <v>124</v>
      </c>
      <c r="CX57" s="290" t="s">
        <v>124</v>
      </c>
      <c r="CY57" s="290" t="s">
        <v>124</v>
      </c>
      <c r="CZ57" s="290" t="s">
        <v>124</v>
      </c>
      <c r="DA57" s="290" t="s">
        <v>124</v>
      </c>
      <c r="DB57" s="290" t="s">
        <v>124</v>
      </c>
      <c r="DC57" s="290" t="s">
        <v>124</v>
      </c>
      <c r="DD57" s="290" t="s">
        <v>124</v>
      </c>
      <c r="DE57" s="290" t="s">
        <v>124</v>
      </c>
      <c r="DF57" s="290" t="s">
        <v>124</v>
      </c>
      <c r="DG57" s="290" t="s">
        <v>124</v>
      </c>
      <c r="DH57" s="290" t="s">
        <v>124</v>
      </c>
      <c r="DI57" s="290" t="s">
        <v>124</v>
      </c>
      <c r="DJ57" s="290" t="s">
        <v>124</v>
      </c>
      <c r="DK57" s="290" t="s">
        <v>124</v>
      </c>
      <c r="DL57" s="290" t="s">
        <v>124</v>
      </c>
      <c r="DM57" s="290" t="s">
        <v>124</v>
      </c>
      <c r="DN57" s="290" t="s">
        <v>124</v>
      </c>
      <c r="DO57" s="290" t="s">
        <v>124</v>
      </c>
      <c r="DP57" s="290" t="s">
        <v>124</v>
      </c>
      <c r="DQ57" s="290" t="s">
        <v>124</v>
      </c>
      <c r="DR57" s="290" t="s">
        <v>124</v>
      </c>
      <c r="DS57" s="290" t="s">
        <v>124</v>
      </c>
      <c r="DT57" s="290" t="s">
        <v>124</v>
      </c>
      <c r="DU57" s="290" t="s">
        <v>124</v>
      </c>
      <c r="DV57" s="290" t="s">
        <v>124</v>
      </c>
      <c r="DW57" s="290" t="s">
        <v>124</v>
      </c>
      <c r="DX57" s="290" t="s">
        <v>124</v>
      </c>
      <c r="DY57" s="290" t="s">
        <v>124</v>
      </c>
      <c r="DZ57" s="290" t="s">
        <v>124</v>
      </c>
      <c r="EA57" s="290" t="s">
        <v>124</v>
      </c>
      <c r="EB57" s="290" t="s">
        <v>124</v>
      </c>
      <c r="EC57" s="290" t="s">
        <v>124</v>
      </c>
      <c r="ED57" s="290" t="s">
        <v>124</v>
      </c>
      <c r="EE57" s="290" t="s">
        <v>124</v>
      </c>
      <c r="EF57" s="290" t="s">
        <v>124</v>
      </c>
      <c r="EG57" s="290" t="s">
        <v>124</v>
      </c>
      <c r="EH57" s="290" t="s">
        <v>124</v>
      </c>
      <c r="EI57" s="290" t="s">
        <v>124</v>
      </c>
      <c r="EJ57" s="290" t="s">
        <v>124</v>
      </c>
      <c r="EK57" s="290" t="s">
        <v>124</v>
      </c>
      <c r="EL57" s="290" t="s">
        <v>124</v>
      </c>
      <c r="EM57" s="290" t="s">
        <v>124</v>
      </c>
      <c r="EN57" s="290" t="s">
        <v>124</v>
      </c>
      <c r="EO57" s="290" t="s">
        <v>124</v>
      </c>
      <c r="EP57" s="290" t="s">
        <v>124</v>
      </c>
      <c r="EQ57" s="290" t="s">
        <v>124</v>
      </c>
      <c r="ER57" s="290" t="s">
        <v>124</v>
      </c>
      <c r="ES57" s="290" t="s">
        <v>124</v>
      </c>
      <c r="ET57" s="290" t="s">
        <v>124</v>
      </c>
      <c r="EU57" s="294" t="s">
        <v>124</v>
      </c>
      <c r="EV57" s="286" t="s">
        <v>1300</v>
      </c>
      <c r="EW57" s="286" t="s">
        <v>68</v>
      </c>
      <c r="EX57" s="286" t="s">
        <v>68</v>
      </c>
      <c r="EY57" s="286" t="s">
        <v>68</v>
      </c>
      <c r="EZ57" s="286" t="s">
        <v>68</v>
      </c>
      <c r="FA57" s="286" t="s">
        <v>68</v>
      </c>
      <c r="FB57" s="286" t="s">
        <v>68</v>
      </c>
      <c r="FC57" s="286" t="s">
        <v>68</v>
      </c>
      <c r="FD57" s="286" t="s">
        <v>1301</v>
      </c>
    </row>
    <row r="58" spans="2:160" s="6" customFormat="1" ht="13.5" customHeight="1" outlineLevel="2" x14ac:dyDescent="0.35">
      <c r="B58" s="295" t="s">
        <v>1296</v>
      </c>
      <c r="C58" s="287" t="s">
        <v>134</v>
      </c>
      <c r="D58" s="287" t="s">
        <v>159</v>
      </c>
      <c r="E58" s="287" t="s">
        <v>159</v>
      </c>
      <c r="F58" s="296" t="s">
        <v>160</v>
      </c>
      <c r="G58" s="287" t="s">
        <v>158</v>
      </c>
      <c r="H58" s="287" t="s">
        <v>158</v>
      </c>
      <c r="I58" s="296" t="s">
        <v>158</v>
      </c>
      <c r="J58" s="288" t="s">
        <v>158</v>
      </c>
      <c r="K58" s="287" t="s">
        <v>158</v>
      </c>
      <c r="L58" s="289" t="s">
        <v>158</v>
      </c>
      <c r="M58" s="289" t="s">
        <v>158</v>
      </c>
      <c r="N58" s="289" t="s">
        <v>158</v>
      </c>
      <c r="O58" s="289" t="s">
        <v>158</v>
      </c>
      <c r="P58" s="290">
        <f t="shared" si="1"/>
        <v>0</v>
      </c>
      <c r="Q58" s="290" t="s">
        <v>67</v>
      </c>
      <c r="R58" s="290" t="s">
        <v>124</v>
      </c>
      <c r="S58" s="290" t="s">
        <v>68</v>
      </c>
      <c r="T58" s="286" t="s">
        <v>133</v>
      </c>
      <c r="U58" s="295" t="s">
        <v>1302</v>
      </c>
      <c r="V58" s="292"/>
      <c r="W58" s="293"/>
      <c r="X58" s="293"/>
      <c r="Y58" s="293" t="s">
        <v>1303</v>
      </c>
      <c r="Z58" s="293"/>
      <c r="AA58" s="293"/>
      <c r="AB58" s="293"/>
      <c r="AC58" s="293"/>
      <c r="AD58" s="293"/>
      <c r="AE58" s="293"/>
      <c r="AF58" s="293"/>
      <c r="AG58" s="293"/>
      <c r="AH58" s="286" t="s">
        <v>1304</v>
      </c>
      <c r="AI58" s="290" t="s">
        <v>124</v>
      </c>
      <c r="AJ58" s="290" t="s">
        <v>124</v>
      </c>
      <c r="AK58" s="290" t="s">
        <v>124</v>
      </c>
      <c r="AL58" s="290" t="s">
        <v>124</v>
      </c>
      <c r="AM58" s="290" t="s">
        <v>124</v>
      </c>
      <c r="AN58" s="290" t="s">
        <v>124</v>
      </c>
      <c r="AO58" s="290" t="s">
        <v>124</v>
      </c>
      <c r="AP58" s="290" t="s">
        <v>124</v>
      </c>
      <c r="AQ58" s="290" t="s">
        <v>124</v>
      </c>
      <c r="AR58" s="290" t="s">
        <v>124</v>
      </c>
      <c r="AS58" s="290" t="s">
        <v>124</v>
      </c>
      <c r="AT58" s="290" t="s">
        <v>124</v>
      </c>
      <c r="AU58" s="290" t="s">
        <v>124</v>
      </c>
      <c r="AV58" s="290" t="s">
        <v>124</v>
      </c>
      <c r="AW58" s="290" t="s">
        <v>124</v>
      </c>
      <c r="AX58" s="290" t="s">
        <v>124</v>
      </c>
      <c r="AY58" s="290" t="s">
        <v>124</v>
      </c>
      <c r="AZ58" s="290" t="s">
        <v>124</v>
      </c>
      <c r="BA58" s="290" t="s">
        <v>124</v>
      </c>
      <c r="BB58" s="290" t="s">
        <v>124</v>
      </c>
      <c r="BC58" s="290" t="s">
        <v>124</v>
      </c>
      <c r="BD58" s="290" t="s">
        <v>124</v>
      </c>
      <c r="BE58" s="290" t="s">
        <v>124</v>
      </c>
      <c r="BF58" s="290" t="s">
        <v>124</v>
      </c>
      <c r="BG58" s="290" t="s">
        <v>124</v>
      </c>
      <c r="BH58" s="290" t="s">
        <v>124</v>
      </c>
      <c r="BI58" s="290" t="s">
        <v>124</v>
      </c>
      <c r="BJ58" s="290" t="s">
        <v>124</v>
      </c>
      <c r="BK58" s="290" t="s">
        <v>124</v>
      </c>
      <c r="BL58" s="290" t="s">
        <v>124</v>
      </c>
      <c r="BM58" s="290" t="s">
        <v>124</v>
      </c>
      <c r="BN58" s="290" t="s">
        <v>124</v>
      </c>
      <c r="BO58" s="290" t="s">
        <v>124</v>
      </c>
      <c r="BP58" s="290" t="s">
        <v>124</v>
      </c>
      <c r="BQ58" s="290" t="s">
        <v>124</v>
      </c>
      <c r="BR58" s="290" t="s">
        <v>124</v>
      </c>
      <c r="BS58" s="290" t="s">
        <v>124</v>
      </c>
      <c r="BT58" s="290" t="s">
        <v>124</v>
      </c>
      <c r="BU58" s="290" t="s">
        <v>124</v>
      </c>
      <c r="BV58" s="290" t="s">
        <v>124</v>
      </c>
      <c r="BW58" s="290" t="s">
        <v>124</v>
      </c>
      <c r="BX58" s="290" t="s">
        <v>124</v>
      </c>
      <c r="BY58" s="290" t="s">
        <v>124</v>
      </c>
      <c r="BZ58" s="290" t="s">
        <v>124</v>
      </c>
      <c r="CA58" s="290" t="s">
        <v>124</v>
      </c>
      <c r="CB58" s="290" t="s">
        <v>124</v>
      </c>
      <c r="CC58" s="290" t="s">
        <v>124</v>
      </c>
      <c r="CD58" s="290" t="s">
        <v>124</v>
      </c>
      <c r="CE58" s="290" t="s">
        <v>124</v>
      </c>
      <c r="CF58" s="290" t="s">
        <v>124</v>
      </c>
      <c r="CG58" s="290" t="s">
        <v>124</v>
      </c>
      <c r="CH58" s="290" t="s">
        <v>124</v>
      </c>
      <c r="CI58" s="290" t="s">
        <v>124</v>
      </c>
      <c r="CJ58" s="290" t="s">
        <v>68</v>
      </c>
      <c r="CK58" s="290" t="s">
        <v>68</v>
      </c>
      <c r="CL58" s="290" t="s">
        <v>124</v>
      </c>
      <c r="CM58" s="290" t="s">
        <v>124</v>
      </c>
      <c r="CN58" s="290" t="s">
        <v>124</v>
      </c>
      <c r="CO58" s="290" t="s">
        <v>124</v>
      </c>
      <c r="CP58" s="290" t="s">
        <v>124</v>
      </c>
      <c r="CQ58" s="290" t="s">
        <v>124</v>
      </c>
      <c r="CR58" s="290" t="s">
        <v>124</v>
      </c>
      <c r="CS58" s="290" t="s">
        <v>124</v>
      </c>
      <c r="CT58" s="290" t="s">
        <v>124</v>
      </c>
      <c r="CU58" s="290" t="s">
        <v>124</v>
      </c>
      <c r="CV58" s="290" t="s">
        <v>124</v>
      </c>
      <c r="CW58" s="290" t="s">
        <v>124</v>
      </c>
      <c r="CX58" s="290" t="s">
        <v>124</v>
      </c>
      <c r="CY58" s="290" t="s">
        <v>124</v>
      </c>
      <c r="CZ58" s="290" t="s">
        <v>124</v>
      </c>
      <c r="DA58" s="290" t="s">
        <v>124</v>
      </c>
      <c r="DB58" s="290" t="s">
        <v>124</v>
      </c>
      <c r="DC58" s="290" t="s">
        <v>124</v>
      </c>
      <c r="DD58" s="290" t="s">
        <v>124</v>
      </c>
      <c r="DE58" s="290" t="s">
        <v>124</v>
      </c>
      <c r="DF58" s="290" t="s">
        <v>124</v>
      </c>
      <c r="DG58" s="290" t="s">
        <v>124</v>
      </c>
      <c r="DH58" s="290" t="s">
        <v>124</v>
      </c>
      <c r="DI58" s="290" t="s">
        <v>124</v>
      </c>
      <c r="DJ58" s="290" t="s">
        <v>124</v>
      </c>
      <c r="DK58" s="290" t="s">
        <v>124</v>
      </c>
      <c r="DL58" s="290" t="s">
        <v>124</v>
      </c>
      <c r="DM58" s="290" t="s">
        <v>124</v>
      </c>
      <c r="DN58" s="290" t="s">
        <v>124</v>
      </c>
      <c r="DO58" s="290" t="s">
        <v>124</v>
      </c>
      <c r="DP58" s="290" t="s">
        <v>124</v>
      </c>
      <c r="DQ58" s="290" t="s">
        <v>124</v>
      </c>
      <c r="DR58" s="290" t="s">
        <v>124</v>
      </c>
      <c r="DS58" s="290" t="s">
        <v>124</v>
      </c>
      <c r="DT58" s="290" t="s">
        <v>124</v>
      </c>
      <c r="DU58" s="290" t="s">
        <v>124</v>
      </c>
      <c r="DV58" s="290" t="s">
        <v>124</v>
      </c>
      <c r="DW58" s="290" t="s">
        <v>124</v>
      </c>
      <c r="DX58" s="290" t="s">
        <v>124</v>
      </c>
      <c r="DY58" s="290" t="s">
        <v>124</v>
      </c>
      <c r="DZ58" s="290" t="s">
        <v>124</v>
      </c>
      <c r="EA58" s="290" t="s">
        <v>124</v>
      </c>
      <c r="EB58" s="290" t="s">
        <v>124</v>
      </c>
      <c r="EC58" s="290" t="s">
        <v>124</v>
      </c>
      <c r="ED58" s="290" t="s">
        <v>124</v>
      </c>
      <c r="EE58" s="290" t="s">
        <v>124</v>
      </c>
      <c r="EF58" s="290" t="s">
        <v>124</v>
      </c>
      <c r="EG58" s="290" t="s">
        <v>124</v>
      </c>
      <c r="EH58" s="290" t="s">
        <v>124</v>
      </c>
      <c r="EI58" s="290" t="s">
        <v>124</v>
      </c>
      <c r="EJ58" s="290" t="s">
        <v>124</v>
      </c>
      <c r="EK58" s="290" t="s">
        <v>124</v>
      </c>
      <c r="EL58" s="290" t="s">
        <v>124</v>
      </c>
      <c r="EM58" s="290" t="s">
        <v>67</v>
      </c>
      <c r="EN58" s="290" t="s">
        <v>67</v>
      </c>
      <c r="EO58" s="290" t="s">
        <v>67</v>
      </c>
      <c r="EP58" s="290" t="s">
        <v>67</v>
      </c>
      <c r="EQ58" s="290" t="s">
        <v>67</v>
      </c>
      <c r="ER58" s="290" t="s">
        <v>124</v>
      </c>
      <c r="ES58" s="290" t="s">
        <v>124</v>
      </c>
      <c r="ET58" s="290" t="s">
        <v>124</v>
      </c>
      <c r="EU58" s="294" t="s">
        <v>124</v>
      </c>
      <c r="EV58" s="286" t="s">
        <v>1300</v>
      </c>
      <c r="EW58" s="286" t="s">
        <v>68</v>
      </c>
      <c r="EX58" s="286" t="s">
        <v>68</v>
      </c>
      <c r="EY58" s="286" t="s">
        <v>68</v>
      </c>
      <c r="EZ58" s="286" t="s">
        <v>68</v>
      </c>
      <c r="FA58" s="286" t="s">
        <v>68</v>
      </c>
      <c r="FB58" s="286" t="s">
        <v>68</v>
      </c>
      <c r="FC58" s="286" t="s">
        <v>68</v>
      </c>
      <c r="FD58" s="286" t="s">
        <v>1301</v>
      </c>
    </row>
    <row r="59" spans="2:160" s="6" customFormat="1" ht="13.5" customHeight="1" outlineLevel="2" x14ac:dyDescent="0.35">
      <c r="B59" s="295" t="s">
        <v>1296</v>
      </c>
      <c r="C59" s="287" t="s">
        <v>134</v>
      </c>
      <c r="D59" s="287" t="s">
        <v>159</v>
      </c>
      <c r="E59" s="287" t="s">
        <v>159</v>
      </c>
      <c r="F59" s="296" t="s">
        <v>161</v>
      </c>
      <c r="G59" s="287" t="s">
        <v>158</v>
      </c>
      <c r="H59" s="287" t="s">
        <v>158</v>
      </c>
      <c r="I59" s="296" t="s">
        <v>158</v>
      </c>
      <c r="J59" s="288" t="s">
        <v>158</v>
      </c>
      <c r="K59" s="287" t="s">
        <v>158</v>
      </c>
      <c r="L59" s="289" t="s">
        <v>158</v>
      </c>
      <c r="M59" s="289" t="s">
        <v>158</v>
      </c>
      <c r="N59" s="289" t="s">
        <v>158</v>
      </c>
      <c r="O59" s="289" t="s">
        <v>158</v>
      </c>
      <c r="P59" s="290">
        <f t="shared" si="1"/>
        <v>0</v>
      </c>
      <c r="Q59" s="290" t="s">
        <v>67</v>
      </c>
      <c r="R59" s="290" t="s">
        <v>124</v>
      </c>
      <c r="S59" s="290" t="s">
        <v>68</v>
      </c>
      <c r="T59" s="286" t="s">
        <v>133</v>
      </c>
      <c r="U59" s="295" t="s">
        <v>1305</v>
      </c>
      <c r="V59" s="292"/>
      <c r="W59" s="293"/>
      <c r="X59" s="293"/>
      <c r="Y59" s="293" t="s">
        <v>1306</v>
      </c>
      <c r="Z59" s="293"/>
      <c r="AA59" s="293"/>
      <c r="AB59" s="293"/>
      <c r="AC59" s="293"/>
      <c r="AD59" s="293"/>
      <c r="AE59" s="293"/>
      <c r="AF59" s="293"/>
      <c r="AG59" s="293"/>
      <c r="AH59" s="286" t="s">
        <v>1307</v>
      </c>
      <c r="AI59" s="290" t="s">
        <v>124</v>
      </c>
      <c r="AJ59" s="290" t="s">
        <v>124</v>
      </c>
      <c r="AK59" s="290" t="s">
        <v>124</v>
      </c>
      <c r="AL59" s="290" t="s">
        <v>124</v>
      </c>
      <c r="AM59" s="290" t="s">
        <v>124</v>
      </c>
      <c r="AN59" s="290" t="s">
        <v>124</v>
      </c>
      <c r="AO59" s="290" t="s">
        <v>124</v>
      </c>
      <c r="AP59" s="290" t="s">
        <v>124</v>
      </c>
      <c r="AQ59" s="290" t="s">
        <v>124</v>
      </c>
      <c r="AR59" s="290" t="s">
        <v>124</v>
      </c>
      <c r="AS59" s="290" t="s">
        <v>124</v>
      </c>
      <c r="AT59" s="290" t="s">
        <v>124</v>
      </c>
      <c r="AU59" s="290" t="s">
        <v>124</v>
      </c>
      <c r="AV59" s="290" t="s">
        <v>124</v>
      </c>
      <c r="AW59" s="290" t="s">
        <v>124</v>
      </c>
      <c r="AX59" s="290" t="s">
        <v>124</v>
      </c>
      <c r="AY59" s="290" t="s">
        <v>124</v>
      </c>
      <c r="AZ59" s="290" t="s">
        <v>124</v>
      </c>
      <c r="BA59" s="290" t="s">
        <v>124</v>
      </c>
      <c r="BB59" s="290" t="s">
        <v>124</v>
      </c>
      <c r="BC59" s="290" t="s">
        <v>124</v>
      </c>
      <c r="BD59" s="290" t="s">
        <v>124</v>
      </c>
      <c r="BE59" s="290" t="s">
        <v>124</v>
      </c>
      <c r="BF59" s="290" t="s">
        <v>124</v>
      </c>
      <c r="BG59" s="290" t="s">
        <v>124</v>
      </c>
      <c r="BH59" s="290" t="s">
        <v>124</v>
      </c>
      <c r="BI59" s="290" t="s">
        <v>124</v>
      </c>
      <c r="BJ59" s="290" t="s">
        <v>124</v>
      </c>
      <c r="BK59" s="290" t="s">
        <v>124</v>
      </c>
      <c r="BL59" s="290" t="s">
        <v>124</v>
      </c>
      <c r="BM59" s="290" t="s">
        <v>124</v>
      </c>
      <c r="BN59" s="290" t="s">
        <v>124</v>
      </c>
      <c r="BO59" s="290" t="s">
        <v>124</v>
      </c>
      <c r="BP59" s="290" t="s">
        <v>124</v>
      </c>
      <c r="BQ59" s="290" t="s">
        <v>124</v>
      </c>
      <c r="BR59" s="290" t="s">
        <v>124</v>
      </c>
      <c r="BS59" s="290" t="s">
        <v>124</v>
      </c>
      <c r="BT59" s="290" t="s">
        <v>124</v>
      </c>
      <c r="BU59" s="290" t="s">
        <v>124</v>
      </c>
      <c r="BV59" s="290" t="s">
        <v>124</v>
      </c>
      <c r="BW59" s="290" t="s">
        <v>124</v>
      </c>
      <c r="BX59" s="290" t="s">
        <v>124</v>
      </c>
      <c r="BY59" s="290" t="s">
        <v>124</v>
      </c>
      <c r="BZ59" s="290" t="s">
        <v>124</v>
      </c>
      <c r="CA59" s="290" t="s">
        <v>124</v>
      </c>
      <c r="CB59" s="290" t="s">
        <v>124</v>
      </c>
      <c r="CC59" s="290" t="s">
        <v>124</v>
      </c>
      <c r="CD59" s="290" t="s">
        <v>124</v>
      </c>
      <c r="CE59" s="290" t="s">
        <v>124</v>
      </c>
      <c r="CF59" s="290" t="s">
        <v>124</v>
      </c>
      <c r="CG59" s="290" t="s">
        <v>124</v>
      </c>
      <c r="CH59" s="290" t="s">
        <v>124</v>
      </c>
      <c r="CI59" s="290" t="s">
        <v>124</v>
      </c>
      <c r="CJ59" s="290" t="s">
        <v>68</v>
      </c>
      <c r="CK59" s="290" t="s">
        <v>68</v>
      </c>
      <c r="CL59" s="290" t="s">
        <v>124</v>
      </c>
      <c r="CM59" s="290" t="s">
        <v>124</v>
      </c>
      <c r="CN59" s="290" t="s">
        <v>124</v>
      </c>
      <c r="CO59" s="290" t="s">
        <v>124</v>
      </c>
      <c r="CP59" s="290" t="s">
        <v>124</v>
      </c>
      <c r="CQ59" s="290" t="s">
        <v>124</v>
      </c>
      <c r="CR59" s="290" t="s">
        <v>124</v>
      </c>
      <c r="CS59" s="290" t="s">
        <v>124</v>
      </c>
      <c r="CT59" s="290" t="s">
        <v>124</v>
      </c>
      <c r="CU59" s="290" t="s">
        <v>124</v>
      </c>
      <c r="CV59" s="290" t="s">
        <v>124</v>
      </c>
      <c r="CW59" s="290" t="s">
        <v>124</v>
      </c>
      <c r="CX59" s="290" t="s">
        <v>124</v>
      </c>
      <c r="CY59" s="290" t="s">
        <v>124</v>
      </c>
      <c r="CZ59" s="290" t="s">
        <v>124</v>
      </c>
      <c r="DA59" s="290" t="s">
        <v>124</v>
      </c>
      <c r="DB59" s="290" t="s">
        <v>124</v>
      </c>
      <c r="DC59" s="290" t="s">
        <v>124</v>
      </c>
      <c r="DD59" s="290" t="s">
        <v>124</v>
      </c>
      <c r="DE59" s="290" t="s">
        <v>124</v>
      </c>
      <c r="DF59" s="290" t="s">
        <v>124</v>
      </c>
      <c r="DG59" s="290" t="s">
        <v>124</v>
      </c>
      <c r="DH59" s="290" t="s">
        <v>124</v>
      </c>
      <c r="DI59" s="290" t="s">
        <v>124</v>
      </c>
      <c r="DJ59" s="290" t="s">
        <v>124</v>
      </c>
      <c r="DK59" s="290" t="s">
        <v>124</v>
      </c>
      <c r="DL59" s="290" t="s">
        <v>124</v>
      </c>
      <c r="DM59" s="290" t="s">
        <v>124</v>
      </c>
      <c r="DN59" s="290" t="s">
        <v>124</v>
      </c>
      <c r="DO59" s="290" t="s">
        <v>124</v>
      </c>
      <c r="DP59" s="290" t="s">
        <v>124</v>
      </c>
      <c r="DQ59" s="290" t="s">
        <v>124</v>
      </c>
      <c r="DR59" s="290" t="s">
        <v>124</v>
      </c>
      <c r="DS59" s="290" t="s">
        <v>124</v>
      </c>
      <c r="DT59" s="290" t="s">
        <v>124</v>
      </c>
      <c r="DU59" s="290" t="s">
        <v>124</v>
      </c>
      <c r="DV59" s="290" t="s">
        <v>124</v>
      </c>
      <c r="DW59" s="290" t="s">
        <v>124</v>
      </c>
      <c r="DX59" s="290" t="s">
        <v>124</v>
      </c>
      <c r="DY59" s="290" t="s">
        <v>124</v>
      </c>
      <c r="DZ59" s="290" t="s">
        <v>124</v>
      </c>
      <c r="EA59" s="290" t="s">
        <v>124</v>
      </c>
      <c r="EB59" s="290" t="s">
        <v>124</v>
      </c>
      <c r="EC59" s="290" t="s">
        <v>124</v>
      </c>
      <c r="ED59" s="290" t="s">
        <v>124</v>
      </c>
      <c r="EE59" s="290" t="s">
        <v>124</v>
      </c>
      <c r="EF59" s="290" t="s">
        <v>124</v>
      </c>
      <c r="EG59" s="290" t="s">
        <v>124</v>
      </c>
      <c r="EH59" s="290" t="s">
        <v>124</v>
      </c>
      <c r="EI59" s="290" t="s">
        <v>67</v>
      </c>
      <c r="EJ59" s="290" t="s">
        <v>67</v>
      </c>
      <c r="EK59" s="290" t="s">
        <v>67</v>
      </c>
      <c r="EL59" s="290" t="s">
        <v>67</v>
      </c>
      <c r="EM59" s="290" t="s">
        <v>124</v>
      </c>
      <c r="EN59" s="290" t="s">
        <v>124</v>
      </c>
      <c r="EO59" s="290" t="s">
        <v>124</v>
      </c>
      <c r="EP59" s="290" t="s">
        <v>124</v>
      </c>
      <c r="EQ59" s="290" t="s">
        <v>124</v>
      </c>
      <c r="ER59" s="290" t="s">
        <v>124</v>
      </c>
      <c r="ES59" s="290" t="s">
        <v>124</v>
      </c>
      <c r="ET59" s="290" t="s">
        <v>124</v>
      </c>
      <c r="EU59" s="294" t="s">
        <v>124</v>
      </c>
      <c r="EV59" s="286" t="s">
        <v>1300</v>
      </c>
      <c r="EW59" s="286" t="s">
        <v>68</v>
      </c>
      <c r="EX59" s="286" t="s">
        <v>68</v>
      </c>
      <c r="EY59" s="286" t="s">
        <v>68</v>
      </c>
      <c r="EZ59" s="286" t="s">
        <v>68</v>
      </c>
      <c r="FA59" s="286" t="s">
        <v>68</v>
      </c>
      <c r="FB59" s="286" t="s">
        <v>68</v>
      </c>
      <c r="FC59" s="286" t="s">
        <v>68</v>
      </c>
      <c r="FD59" s="286" t="s">
        <v>1301</v>
      </c>
    </row>
    <row r="60" spans="2:160" s="6" customFormat="1" ht="13.5" customHeight="1" outlineLevel="2" x14ac:dyDescent="0.35">
      <c r="B60" s="295" t="s">
        <v>1296</v>
      </c>
      <c r="C60" s="287" t="s">
        <v>134</v>
      </c>
      <c r="D60" s="287" t="s">
        <v>159</v>
      </c>
      <c r="E60" s="287" t="s">
        <v>159</v>
      </c>
      <c r="F60" s="296" t="s">
        <v>162</v>
      </c>
      <c r="G60" s="287" t="s">
        <v>158</v>
      </c>
      <c r="H60" s="287" t="s">
        <v>158</v>
      </c>
      <c r="I60" s="296" t="s">
        <v>158</v>
      </c>
      <c r="J60" s="288" t="s">
        <v>158</v>
      </c>
      <c r="K60" s="287" t="s">
        <v>158</v>
      </c>
      <c r="L60" s="289" t="s">
        <v>158</v>
      </c>
      <c r="M60" s="289" t="s">
        <v>158</v>
      </c>
      <c r="N60" s="289" t="s">
        <v>158</v>
      </c>
      <c r="O60" s="289" t="s">
        <v>158</v>
      </c>
      <c r="P60" s="290">
        <f t="shared" si="1"/>
        <v>0</v>
      </c>
      <c r="Q60" s="290" t="s">
        <v>67</v>
      </c>
      <c r="R60" s="290" t="s">
        <v>124</v>
      </c>
      <c r="S60" s="290" t="s">
        <v>68</v>
      </c>
      <c r="T60" s="286" t="s">
        <v>133</v>
      </c>
      <c r="U60" s="295" t="s">
        <v>1308</v>
      </c>
      <c r="V60" s="292"/>
      <c r="W60" s="293"/>
      <c r="X60" s="293"/>
      <c r="Y60" s="293" t="s">
        <v>1309</v>
      </c>
      <c r="Z60" s="293"/>
      <c r="AA60" s="293"/>
      <c r="AB60" s="293"/>
      <c r="AC60" s="293"/>
      <c r="AD60" s="293"/>
      <c r="AE60" s="293"/>
      <c r="AF60" s="293"/>
      <c r="AG60" s="293"/>
      <c r="AH60" s="286" t="s">
        <v>1310</v>
      </c>
      <c r="AI60" s="290" t="s">
        <v>124</v>
      </c>
      <c r="AJ60" s="290" t="s">
        <v>124</v>
      </c>
      <c r="AK60" s="290" t="s">
        <v>124</v>
      </c>
      <c r="AL60" s="290" t="s">
        <v>124</v>
      </c>
      <c r="AM60" s="290" t="s">
        <v>124</v>
      </c>
      <c r="AN60" s="290" t="s">
        <v>124</v>
      </c>
      <c r="AO60" s="290" t="s">
        <v>124</v>
      </c>
      <c r="AP60" s="290" t="s">
        <v>124</v>
      </c>
      <c r="AQ60" s="290" t="s">
        <v>124</v>
      </c>
      <c r="AR60" s="290" t="s">
        <v>124</v>
      </c>
      <c r="AS60" s="290" t="s">
        <v>124</v>
      </c>
      <c r="AT60" s="290" t="s">
        <v>124</v>
      </c>
      <c r="AU60" s="290" t="s">
        <v>124</v>
      </c>
      <c r="AV60" s="290" t="s">
        <v>124</v>
      </c>
      <c r="AW60" s="290" t="s">
        <v>124</v>
      </c>
      <c r="AX60" s="290" t="s">
        <v>124</v>
      </c>
      <c r="AY60" s="290" t="s">
        <v>124</v>
      </c>
      <c r="AZ60" s="290" t="s">
        <v>124</v>
      </c>
      <c r="BA60" s="290" t="s">
        <v>124</v>
      </c>
      <c r="BB60" s="290" t="s">
        <v>124</v>
      </c>
      <c r="BC60" s="290" t="s">
        <v>124</v>
      </c>
      <c r="BD60" s="290" t="s">
        <v>124</v>
      </c>
      <c r="BE60" s="290" t="s">
        <v>124</v>
      </c>
      <c r="BF60" s="290" t="s">
        <v>124</v>
      </c>
      <c r="BG60" s="290" t="s">
        <v>124</v>
      </c>
      <c r="BH60" s="290" t="s">
        <v>124</v>
      </c>
      <c r="BI60" s="290" t="s">
        <v>124</v>
      </c>
      <c r="BJ60" s="290" t="s">
        <v>124</v>
      </c>
      <c r="BK60" s="290" t="s">
        <v>124</v>
      </c>
      <c r="BL60" s="290" t="s">
        <v>124</v>
      </c>
      <c r="BM60" s="290" t="s">
        <v>124</v>
      </c>
      <c r="BN60" s="290" t="s">
        <v>124</v>
      </c>
      <c r="BO60" s="290" t="s">
        <v>124</v>
      </c>
      <c r="BP60" s="290" t="s">
        <v>124</v>
      </c>
      <c r="BQ60" s="290" t="s">
        <v>124</v>
      </c>
      <c r="BR60" s="290" t="s">
        <v>124</v>
      </c>
      <c r="BS60" s="290" t="s">
        <v>124</v>
      </c>
      <c r="BT60" s="290" t="s">
        <v>124</v>
      </c>
      <c r="BU60" s="290" t="s">
        <v>124</v>
      </c>
      <c r="BV60" s="290" t="s">
        <v>124</v>
      </c>
      <c r="BW60" s="290" t="s">
        <v>124</v>
      </c>
      <c r="BX60" s="290" t="s">
        <v>124</v>
      </c>
      <c r="BY60" s="290" t="s">
        <v>124</v>
      </c>
      <c r="BZ60" s="290" t="s">
        <v>124</v>
      </c>
      <c r="CA60" s="290" t="s">
        <v>124</v>
      </c>
      <c r="CB60" s="290" t="s">
        <v>124</v>
      </c>
      <c r="CC60" s="290" t="s">
        <v>124</v>
      </c>
      <c r="CD60" s="290" t="s">
        <v>124</v>
      </c>
      <c r="CE60" s="290" t="s">
        <v>124</v>
      </c>
      <c r="CF60" s="290" t="s">
        <v>124</v>
      </c>
      <c r="CG60" s="290" t="s">
        <v>124</v>
      </c>
      <c r="CH60" s="290" t="s">
        <v>124</v>
      </c>
      <c r="CI60" s="290" t="s">
        <v>124</v>
      </c>
      <c r="CJ60" s="290" t="s">
        <v>68</v>
      </c>
      <c r="CK60" s="290" t="s">
        <v>68</v>
      </c>
      <c r="CL60" s="290" t="s">
        <v>124</v>
      </c>
      <c r="CM60" s="290" t="s">
        <v>124</v>
      </c>
      <c r="CN60" s="290" t="s">
        <v>124</v>
      </c>
      <c r="CO60" s="290" t="s">
        <v>124</v>
      </c>
      <c r="CP60" s="290" t="s">
        <v>124</v>
      </c>
      <c r="CQ60" s="290" t="s">
        <v>124</v>
      </c>
      <c r="CR60" s="290" t="s">
        <v>124</v>
      </c>
      <c r="CS60" s="290" t="s">
        <v>124</v>
      </c>
      <c r="CT60" s="290" t="s">
        <v>124</v>
      </c>
      <c r="CU60" s="290" t="s">
        <v>124</v>
      </c>
      <c r="CV60" s="290" t="s">
        <v>124</v>
      </c>
      <c r="CW60" s="290" t="s">
        <v>124</v>
      </c>
      <c r="CX60" s="290" t="s">
        <v>124</v>
      </c>
      <c r="CY60" s="290" t="s">
        <v>124</v>
      </c>
      <c r="CZ60" s="290" t="s">
        <v>124</v>
      </c>
      <c r="DA60" s="290" t="s">
        <v>124</v>
      </c>
      <c r="DB60" s="290" t="s">
        <v>124</v>
      </c>
      <c r="DC60" s="290" t="s">
        <v>124</v>
      </c>
      <c r="DD60" s="290" t="s">
        <v>124</v>
      </c>
      <c r="DE60" s="290" t="s">
        <v>124</v>
      </c>
      <c r="DF60" s="290" t="s">
        <v>124</v>
      </c>
      <c r="DG60" s="290" t="s">
        <v>124</v>
      </c>
      <c r="DH60" s="290" t="s">
        <v>124</v>
      </c>
      <c r="DI60" s="290" t="s">
        <v>124</v>
      </c>
      <c r="DJ60" s="290" t="s">
        <v>124</v>
      </c>
      <c r="DK60" s="290" t="s">
        <v>124</v>
      </c>
      <c r="DL60" s="290" t="s">
        <v>124</v>
      </c>
      <c r="DM60" s="290" t="s">
        <v>124</v>
      </c>
      <c r="DN60" s="290" t="s">
        <v>124</v>
      </c>
      <c r="DO60" s="290" t="s">
        <v>124</v>
      </c>
      <c r="DP60" s="290" t="s">
        <v>124</v>
      </c>
      <c r="DQ60" s="290" t="s">
        <v>124</v>
      </c>
      <c r="DR60" s="290" t="s">
        <v>124</v>
      </c>
      <c r="DS60" s="290" t="s">
        <v>124</v>
      </c>
      <c r="DT60" s="290" t="s">
        <v>124</v>
      </c>
      <c r="DU60" s="290" t="s">
        <v>124</v>
      </c>
      <c r="DV60" s="290" t="s">
        <v>124</v>
      </c>
      <c r="DW60" s="290" t="s">
        <v>124</v>
      </c>
      <c r="DX60" s="290" t="s">
        <v>124</v>
      </c>
      <c r="DY60" s="290" t="s">
        <v>124</v>
      </c>
      <c r="DZ60" s="290" t="s">
        <v>124</v>
      </c>
      <c r="EA60" s="290" t="s">
        <v>124</v>
      </c>
      <c r="EB60" s="290" t="s">
        <v>124</v>
      </c>
      <c r="EC60" s="290" t="s">
        <v>124</v>
      </c>
      <c r="ED60" s="290" t="s">
        <v>124</v>
      </c>
      <c r="EE60" s="290" t="s">
        <v>124</v>
      </c>
      <c r="EF60" s="290" t="s">
        <v>124</v>
      </c>
      <c r="EG60" s="290" t="s">
        <v>124</v>
      </c>
      <c r="EH60" s="290" t="s">
        <v>124</v>
      </c>
      <c r="EI60" s="290" t="s">
        <v>124</v>
      </c>
      <c r="EJ60" s="290" t="s">
        <v>124</v>
      </c>
      <c r="EK60" s="290" t="s">
        <v>124</v>
      </c>
      <c r="EL60" s="290" t="s">
        <v>124</v>
      </c>
      <c r="EM60" s="290" t="s">
        <v>124</v>
      </c>
      <c r="EN60" s="290" t="s">
        <v>124</v>
      </c>
      <c r="EO60" s="290" t="s">
        <v>124</v>
      </c>
      <c r="EP60" s="290" t="s">
        <v>124</v>
      </c>
      <c r="EQ60" s="290" t="s">
        <v>124</v>
      </c>
      <c r="ER60" s="290" t="s">
        <v>67</v>
      </c>
      <c r="ES60" s="290" t="s">
        <v>67</v>
      </c>
      <c r="ET60" s="290" t="s">
        <v>67</v>
      </c>
      <c r="EU60" s="294" t="s">
        <v>67</v>
      </c>
      <c r="EV60" s="286" t="s">
        <v>1300</v>
      </c>
      <c r="EW60" s="286" t="s">
        <v>68</v>
      </c>
      <c r="EX60" s="286" t="s">
        <v>68</v>
      </c>
      <c r="EY60" s="286" t="s">
        <v>68</v>
      </c>
      <c r="EZ60" s="286" t="s">
        <v>68</v>
      </c>
      <c r="FA60" s="286" t="s">
        <v>68</v>
      </c>
      <c r="FB60" s="286" t="s">
        <v>68</v>
      </c>
      <c r="FC60" s="286" t="s">
        <v>68</v>
      </c>
      <c r="FD60" s="286" t="s">
        <v>1301</v>
      </c>
    </row>
    <row r="61" spans="2:160" s="6" customFormat="1" ht="13.5" customHeight="1" outlineLevel="1" x14ac:dyDescent="0.35">
      <c r="B61" s="286" t="s">
        <v>68</v>
      </c>
      <c r="C61" s="287" t="s">
        <v>134</v>
      </c>
      <c r="D61" s="287" t="s">
        <v>159</v>
      </c>
      <c r="E61" s="287" t="s">
        <v>160</v>
      </c>
      <c r="F61" s="287" t="s">
        <v>158</v>
      </c>
      <c r="G61" s="287" t="s">
        <v>158</v>
      </c>
      <c r="H61" s="287" t="s">
        <v>158</v>
      </c>
      <c r="I61" s="296" t="s">
        <v>158</v>
      </c>
      <c r="J61" s="288" t="s">
        <v>158</v>
      </c>
      <c r="K61" s="287" t="s">
        <v>158</v>
      </c>
      <c r="L61" s="289" t="s">
        <v>158</v>
      </c>
      <c r="M61" s="289" t="s">
        <v>158</v>
      </c>
      <c r="N61" s="289" t="s">
        <v>158</v>
      </c>
      <c r="O61" s="289" t="s">
        <v>158</v>
      </c>
      <c r="P61" s="290">
        <f t="shared" si="1"/>
        <v>0</v>
      </c>
      <c r="Q61" s="290" t="s">
        <v>124</v>
      </c>
      <c r="R61" s="290" t="s">
        <v>124</v>
      </c>
      <c r="S61" s="290" t="s">
        <v>68</v>
      </c>
      <c r="T61" s="286" t="s">
        <v>133</v>
      </c>
      <c r="U61" s="291" t="s">
        <v>1311</v>
      </c>
      <c r="V61" s="292"/>
      <c r="W61" s="293"/>
      <c r="X61" s="293" t="s">
        <v>1312</v>
      </c>
      <c r="Y61" s="293"/>
      <c r="Z61" s="293"/>
      <c r="AA61" s="293"/>
      <c r="AB61" s="293"/>
      <c r="AC61" s="293"/>
      <c r="AD61" s="293"/>
      <c r="AE61" s="293"/>
      <c r="AF61" s="293"/>
      <c r="AG61" s="293"/>
      <c r="AH61" s="286" t="s">
        <v>1313</v>
      </c>
      <c r="AI61" s="290" t="s">
        <v>68</v>
      </c>
      <c r="AJ61" s="290" t="s">
        <v>68</v>
      </c>
      <c r="AK61" s="290" t="s">
        <v>68</v>
      </c>
      <c r="AL61" s="290" t="s">
        <v>68</v>
      </c>
      <c r="AM61" s="290" t="s">
        <v>68</v>
      </c>
      <c r="AN61" s="290" t="s">
        <v>68</v>
      </c>
      <c r="AO61" s="290" t="s">
        <v>68</v>
      </c>
      <c r="AP61" s="290" t="s">
        <v>68</v>
      </c>
      <c r="AQ61" s="290" t="s">
        <v>68</v>
      </c>
      <c r="AR61" s="290" t="s">
        <v>68</v>
      </c>
      <c r="AS61" s="290" t="s">
        <v>68</v>
      </c>
      <c r="AT61" s="290" t="s">
        <v>68</v>
      </c>
      <c r="AU61" s="290" t="s">
        <v>68</v>
      </c>
      <c r="AV61" s="290" t="s">
        <v>68</v>
      </c>
      <c r="AW61" s="290" t="s">
        <v>68</v>
      </c>
      <c r="AX61" s="290" t="s">
        <v>68</v>
      </c>
      <c r="AY61" s="290" t="s">
        <v>68</v>
      </c>
      <c r="AZ61" s="290" t="s">
        <v>68</v>
      </c>
      <c r="BA61" s="290" t="s">
        <v>68</v>
      </c>
      <c r="BB61" s="290" t="s">
        <v>68</v>
      </c>
      <c r="BC61" s="290" t="s">
        <v>68</v>
      </c>
      <c r="BD61" s="290" t="s">
        <v>68</v>
      </c>
      <c r="BE61" s="290" t="s">
        <v>68</v>
      </c>
      <c r="BF61" s="290" t="s">
        <v>68</v>
      </c>
      <c r="BG61" s="290" t="s">
        <v>68</v>
      </c>
      <c r="BH61" s="290" t="s">
        <v>68</v>
      </c>
      <c r="BI61" s="290" t="s">
        <v>68</v>
      </c>
      <c r="BJ61" s="290" t="s">
        <v>68</v>
      </c>
      <c r="BK61" s="290" t="s">
        <v>68</v>
      </c>
      <c r="BL61" s="290" t="s">
        <v>68</v>
      </c>
      <c r="BM61" s="290" t="s">
        <v>68</v>
      </c>
      <c r="BN61" s="290" t="s">
        <v>68</v>
      </c>
      <c r="BO61" s="290" t="s">
        <v>68</v>
      </c>
      <c r="BP61" s="290" t="s">
        <v>68</v>
      </c>
      <c r="BQ61" s="290" t="s">
        <v>68</v>
      </c>
      <c r="BR61" s="290" t="s">
        <v>68</v>
      </c>
      <c r="BS61" s="290" t="s">
        <v>68</v>
      </c>
      <c r="BT61" s="290" t="s">
        <v>68</v>
      </c>
      <c r="BU61" s="290" t="s">
        <v>68</v>
      </c>
      <c r="BV61" s="290" t="s">
        <v>68</v>
      </c>
      <c r="BW61" s="290" t="s">
        <v>68</v>
      </c>
      <c r="BX61" s="290" t="s">
        <v>68</v>
      </c>
      <c r="BY61" s="290" t="s">
        <v>68</v>
      </c>
      <c r="BZ61" s="290" t="s">
        <v>68</v>
      </c>
      <c r="CA61" s="290" t="s">
        <v>68</v>
      </c>
      <c r="CB61" s="290" t="s">
        <v>68</v>
      </c>
      <c r="CC61" s="290" t="s">
        <v>68</v>
      </c>
      <c r="CD61" s="290" t="s">
        <v>68</v>
      </c>
      <c r="CE61" s="290" t="s">
        <v>68</v>
      </c>
      <c r="CF61" s="290" t="s">
        <v>68</v>
      </c>
      <c r="CG61" s="290" t="s">
        <v>68</v>
      </c>
      <c r="CH61" s="290" t="s">
        <v>68</v>
      </c>
      <c r="CI61" s="290" t="s">
        <v>68</v>
      </c>
      <c r="CJ61" s="290" t="s">
        <v>68</v>
      </c>
      <c r="CK61" s="290" t="s">
        <v>68</v>
      </c>
      <c r="CL61" s="290" t="s">
        <v>68</v>
      </c>
      <c r="CM61" s="290" t="s">
        <v>68</v>
      </c>
      <c r="CN61" s="290" t="s">
        <v>68</v>
      </c>
      <c r="CO61" s="290" t="s">
        <v>68</v>
      </c>
      <c r="CP61" s="290" t="s">
        <v>68</v>
      </c>
      <c r="CQ61" s="290" t="s">
        <v>68</v>
      </c>
      <c r="CR61" s="290" t="s">
        <v>68</v>
      </c>
      <c r="CS61" s="290" t="s">
        <v>68</v>
      </c>
      <c r="CT61" s="290" t="s">
        <v>68</v>
      </c>
      <c r="CU61" s="290" t="s">
        <v>68</v>
      </c>
      <c r="CV61" s="290" t="s">
        <v>68</v>
      </c>
      <c r="CW61" s="290" t="s">
        <v>68</v>
      </c>
      <c r="CX61" s="290" t="s">
        <v>68</v>
      </c>
      <c r="CY61" s="290" t="s">
        <v>68</v>
      </c>
      <c r="CZ61" s="290" t="s">
        <v>68</v>
      </c>
      <c r="DA61" s="290" t="s">
        <v>68</v>
      </c>
      <c r="DB61" s="290" t="s">
        <v>68</v>
      </c>
      <c r="DC61" s="290" t="s">
        <v>68</v>
      </c>
      <c r="DD61" s="290" t="s">
        <v>68</v>
      </c>
      <c r="DE61" s="290" t="s">
        <v>68</v>
      </c>
      <c r="DF61" s="290" t="s">
        <v>68</v>
      </c>
      <c r="DG61" s="290" t="s">
        <v>68</v>
      </c>
      <c r="DH61" s="290" t="s">
        <v>68</v>
      </c>
      <c r="DI61" s="290" t="s">
        <v>68</v>
      </c>
      <c r="DJ61" s="290" t="s">
        <v>68</v>
      </c>
      <c r="DK61" s="290" t="s">
        <v>68</v>
      </c>
      <c r="DL61" s="290" t="s">
        <v>68</v>
      </c>
      <c r="DM61" s="290" t="s">
        <v>68</v>
      </c>
      <c r="DN61" s="290" t="s">
        <v>68</v>
      </c>
      <c r="DO61" s="290" t="s">
        <v>68</v>
      </c>
      <c r="DP61" s="290" t="s">
        <v>68</v>
      </c>
      <c r="DQ61" s="290" t="s">
        <v>68</v>
      </c>
      <c r="DR61" s="290" t="s">
        <v>68</v>
      </c>
      <c r="DS61" s="290" t="s">
        <v>68</v>
      </c>
      <c r="DT61" s="290" t="s">
        <v>68</v>
      </c>
      <c r="DU61" s="290" t="s">
        <v>68</v>
      </c>
      <c r="DV61" s="290" t="s">
        <v>68</v>
      </c>
      <c r="DW61" s="290" t="s">
        <v>68</v>
      </c>
      <c r="DX61" s="290" t="s">
        <v>68</v>
      </c>
      <c r="DY61" s="290" t="s">
        <v>68</v>
      </c>
      <c r="DZ61" s="290" t="s">
        <v>68</v>
      </c>
      <c r="EA61" s="290" t="s">
        <v>68</v>
      </c>
      <c r="EB61" s="290" t="s">
        <v>68</v>
      </c>
      <c r="EC61" s="290" t="s">
        <v>68</v>
      </c>
      <c r="ED61" s="290" t="s">
        <v>68</v>
      </c>
      <c r="EE61" s="290" t="s">
        <v>68</v>
      </c>
      <c r="EF61" s="290" t="s">
        <v>68</v>
      </c>
      <c r="EG61" s="290" t="s">
        <v>68</v>
      </c>
      <c r="EH61" s="290" t="s">
        <v>68</v>
      </c>
      <c r="EI61" s="290" t="s">
        <v>68</v>
      </c>
      <c r="EJ61" s="290" t="s">
        <v>68</v>
      </c>
      <c r="EK61" s="290" t="s">
        <v>68</v>
      </c>
      <c r="EL61" s="290" t="s">
        <v>68</v>
      </c>
      <c r="EM61" s="290" t="s">
        <v>68</v>
      </c>
      <c r="EN61" s="290" t="s">
        <v>68</v>
      </c>
      <c r="EO61" s="290" t="s">
        <v>68</v>
      </c>
      <c r="EP61" s="290" t="s">
        <v>68</v>
      </c>
      <c r="EQ61" s="290" t="s">
        <v>68</v>
      </c>
      <c r="ER61" s="290" t="s">
        <v>68</v>
      </c>
      <c r="ES61" s="290" t="s">
        <v>68</v>
      </c>
      <c r="ET61" s="290" t="s">
        <v>68</v>
      </c>
      <c r="EU61" s="294" t="s">
        <v>68</v>
      </c>
      <c r="EV61" s="286" t="s">
        <v>68</v>
      </c>
      <c r="EW61" s="286" t="s">
        <v>68</v>
      </c>
      <c r="EX61" s="286" t="s">
        <v>68</v>
      </c>
      <c r="EY61" s="286" t="s">
        <v>68</v>
      </c>
      <c r="EZ61" s="286" t="s">
        <v>68</v>
      </c>
      <c r="FA61" s="286" t="s">
        <v>68</v>
      </c>
      <c r="FB61" s="286" t="s">
        <v>68</v>
      </c>
      <c r="FC61" s="286" t="s">
        <v>68</v>
      </c>
      <c r="FD61" s="286" t="s">
        <v>68</v>
      </c>
    </row>
    <row r="62" spans="2:160" s="6" customFormat="1" ht="13.5" customHeight="1" outlineLevel="2" x14ac:dyDescent="0.35">
      <c r="B62" s="295" t="s">
        <v>1296</v>
      </c>
      <c r="C62" s="287" t="s">
        <v>134</v>
      </c>
      <c r="D62" s="287" t="s">
        <v>159</v>
      </c>
      <c r="E62" s="287" t="s">
        <v>160</v>
      </c>
      <c r="F62" s="296" t="s">
        <v>159</v>
      </c>
      <c r="G62" s="287" t="s">
        <v>158</v>
      </c>
      <c r="H62" s="287" t="s">
        <v>158</v>
      </c>
      <c r="I62" s="296" t="s">
        <v>158</v>
      </c>
      <c r="J62" s="288" t="s">
        <v>158</v>
      </c>
      <c r="K62" s="287" t="s">
        <v>158</v>
      </c>
      <c r="L62" s="289" t="s">
        <v>158</v>
      </c>
      <c r="M62" s="289" t="s">
        <v>158</v>
      </c>
      <c r="N62" s="289" t="s">
        <v>158</v>
      </c>
      <c r="O62" s="289" t="s">
        <v>158</v>
      </c>
      <c r="P62" s="290">
        <f t="shared" si="1"/>
        <v>0</v>
      </c>
      <c r="Q62" s="290" t="s">
        <v>67</v>
      </c>
      <c r="R62" s="290" t="s">
        <v>124</v>
      </c>
      <c r="S62" s="290" t="s">
        <v>68</v>
      </c>
      <c r="T62" s="286" t="s">
        <v>133</v>
      </c>
      <c r="U62" s="291" t="s">
        <v>1314</v>
      </c>
      <c r="V62" s="292"/>
      <c r="W62" s="293"/>
      <c r="X62" s="293"/>
      <c r="Y62" s="293" t="s">
        <v>1315</v>
      </c>
      <c r="Z62" s="293"/>
      <c r="AA62" s="293"/>
      <c r="AB62" s="293"/>
      <c r="AC62" s="293"/>
      <c r="AD62" s="293"/>
      <c r="AE62" s="293"/>
      <c r="AF62" s="293"/>
      <c r="AG62" s="293"/>
      <c r="AH62" s="286" t="s">
        <v>1316</v>
      </c>
      <c r="AI62" s="290" t="s">
        <v>124</v>
      </c>
      <c r="AJ62" s="290" t="s">
        <v>124</v>
      </c>
      <c r="AK62" s="290" t="s">
        <v>124</v>
      </c>
      <c r="AL62" s="290" t="s">
        <v>124</v>
      </c>
      <c r="AM62" s="290" t="s">
        <v>124</v>
      </c>
      <c r="AN62" s="290" t="s">
        <v>124</v>
      </c>
      <c r="AO62" s="290" t="s">
        <v>124</v>
      </c>
      <c r="AP62" s="290" t="s">
        <v>124</v>
      </c>
      <c r="AQ62" s="290" t="s">
        <v>124</v>
      </c>
      <c r="AR62" s="290" t="s">
        <v>124</v>
      </c>
      <c r="AS62" s="290" t="s">
        <v>124</v>
      </c>
      <c r="AT62" s="290" t="s">
        <v>124</v>
      </c>
      <c r="AU62" s="290" t="s">
        <v>124</v>
      </c>
      <c r="AV62" s="290" t="s">
        <v>124</v>
      </c>
      <c r="AW62" s="290" t="s">
        <v>124</v>
      </c>
      <c r="AX62" s="290" t="s">
        <v>124</v>
      </c>
      <c r="AY62" s="290" t="s">
        <v>124</v>
      </c>
      <c r="AZ62" s="290" t="s">
        <v>124</v>
      </c>
      <c r="BA62" s="290" t="s">
        <v>124</v>
      </c>
      <c r="BB62" s="290" t="s">
        <v>124</v>
      </c>
      <c r="BC62" s="290" t="s">
        <v>124</v>
      </c>
      <c r="BD62" s="290" t="s">
        <v>124</v>
      </c>
      <c r="BE62" s="290" t="s">
        <v>124</v>
      </c>
      <c r="BF62" s="290" t="s">
        <v>124</v>
      </c>
      <c r="BG62" s="290" t="s">
        <v>124</v>
      </c>
      <c r="BH62" s="290" t="s">
        <v>67</v>
      </c>
      <c r="BI62" s="290" t="s">
        <v>67</v>
      </c>
      <c r="BJ62" s="290" t="s">
        <v>67</v>
      </c>
      <c r="BK62" s="290" t="s">
        <v>124</v>
      </c>
      <c r="BL62" s="290" t="s">
        <v>124</v>
      </c>
      <c r="BM62" s="290" t="s">
        <v>124</v>
      </c>
      <c r="BN62" s="290" t="s">
        <v>124</v>
      </c>
      <c r="BO62" s="290" t="s">
        <v>124</v>
      </c>
      <c r="BP62" s="290" t="s">
        <v>124</v>
      </c>
      <c r="BQ62" s="290" t="s">
        <v>124</v>
      </c>
      <c r="BR62" s="290" t="s">
        <v>124</v>
      </c>
      <c r="BS62" s="290" t="s">
        <v>124</v>
      </c>
      <c r="BT62" s="290" t="s">
        <v>124</v>
      </c>
      <c r="BU62" s="290" t="s">
        <v>124</v>
      </c>
      <c r="BV62" s="290" t="s">
        <v>124</v>
      </c>
      <c r="BW62" s="290" t="s">
        <v>124</v>
      </c>
      <c r="BX62" s="290" t="s">
        <v>124</v>
      </c>
      <c r="BY62" s="290" t="s">
        <v>124</v>
      </c>
      <c r="BZ62" s="290" t="s">
        <v>124</v>
      </c>
      <c r="CA62" s="290" t="s">
        <v>124</v>
      </c>
      <c r="CB62" s="290" t="s">
        <v>124</v>
      </c>
      <c r="CC62" s="290" t="s">
        <v>124</v>
      </c>
      <c r="CD62" s="290" t="s">
        <v>124</v>
      </c>
      <c r="CE62" s="290" t="s">
        <v>124</v>
      </c>
      <c r="CF62" s="290" t="s">
        <v>124</v>
      </c>
      <c r="CG62" s="290" t="s">
        <v>124</v>
      </c>
      <c r="CH62" s="290" t="s">
        <v>124</v>
      </c>
      <c r="CI62" s="290" t="s">
        <v>124</v>
      </c>
      <c r="CJ62" s="290" t="s">
        <v>68</v>
      </c>
      <c r="CK62" s="290" t="s">
        <v>68</v>
      </c>
      <c r="CL62" s="290" t="s">
        <v>124</v>
      </c>
      <c r="CM62" s="290" t="s">
        <v>68</v>
      </c>
      <c r="CN62" s="290" t="s">
        <v>124</v>
      </c>
      <c r="CO62" s="290" t="s">
        <v>124</v>
      </c>
      <c r="CP62" s="290" t="s">
        <v>124</v>
      </c>
      <c r="CQ62" s="290" t="s">
        <v>124</v>
      </c>
      <c r="CR62" s="290" t="s">
        <v>124</v>
      </c>
      <c r="CS62" s="290" t="s">
        <v>124</v>
      </c>
      <c r="CT62" s="290" t="s">
        <v>124</v>
      </c>
      <c r="CU62" s="290" t="s">
        <v>124</v>
      </c>
      <c r="CV62" s="290" t="s">
        <v>124</v>
      </c>
      <c r="CW62" s="290" t="s">
        <v>124</v>
      </c>
      <c r="CX62" s="290" t="s">
        <v>124</v>
      </c>
      <c r="CY62" s="290" t="s">
        <v>124</v>
      </c>
      <c r="CZ62" s="290" t="s">
        <v>124</v>
      </c>
      <c r="DA62" s="290" t="s">
        <v>124</v>
      </c>
      <c r="DB62" s="290" t="s">
        <v>124</v>
      </c>
      <c r="DC62" s="290" t="s">
        <v>124</v>
      </c>
      <c r="DD62" s="290" t="s">
        <v>124</v>
      </c>
      <c r="DE62" s="290" t="s">
        <v>124</v>
      </c>
      <c r="DF62" s="290" t="s">
        <v>124</v>
      </c>
      <c r="DG62" s="290" t="s">
        <v>124</v>
      </c>
      <c r="DH62" s="290" t="s">
        <v>124</v>
      </c>
      <c r="DI62" s="290" t="s">
        <v>124</v>
      </c>
      <c r="DJ62" s="290" t="s">
        <v>124</v>
      </c>
      <c r="DK62" s="290" t="s">
        <v>124</v>
      </c>
      <c r="DL62" s="290" t="s">
        <v>124</v>
      </c>
      <c r="DM62" s="290" t="s">
        <v>124</v>
      </c>
      <c r="DN62" s="290" t="s">
        <v>124</v>
      </c>
      <c r="DO62" s="290" t="s">
        <v>124</v>
      </c>
      <c r="DP62" s="290" t="s">
        <v>124</v>
      </c>
      <c r="DQ62" s="290" t="s">
        <v>124</v>
      </c>
      <c r="DR62" s="290" t="s">
        <v>124</v>
      </c>
      <c r="DS62" s="290" t="s">
        <v>124</v>
      </c>
      <c r="DT62" s="290" t="s">
        <v>124</v>
      </c>
      <c r="DU62" s="290" t="s">
        <v>124</v>
      </c>
      <c r="DV62" s="290" t="s">
        <v>124</v>
      </c>
      <c r="DW62" s="290" t="s">
        <v>124</v>
      </c>
      <c r="DX62" s="290" t="s">
        <v>124</v>
      </c>
      <c r="DY62" s="290" t="s">
        <v>124</v>
      </c>
      <c r="DZ62" s="290" t="s">
        <v>124</v>
      </c>
      <c r="EA62" s="290" t="s">
        <v>124</v>
      </c>
      <c r="EB62" s="290" t="s">
        <v>124</v>
      </c>
      <c r="EC62" s="290" t="s">
        <v>124</v>
      </c>
      <c r="ED62" s="290" t="s">
        <v>124</v>
      </c>
      <c r="EE62" s="290" t="s">
        <v>124</v>
      </c>
      <c r="EF62" s="290" t="s">
        <v>124</v>
      </c>
      <c r="EG62" s="290" t="s">
        <v>124</v>
      </c>
      <c r="EH62" s="290" t="s">
        <v>124</v>
      </c>
      <c r="EI62" s="290" t="s">
        <v>124</v>
      </c>
      <c r="EJ62" s="290" t="s">
        <v>124</v>
      </c>
      <c r="EK62" s="290" t="s">
        <v>124</v>
      </c>
      <c r="EL62" s="290" t="s">
        <v>124</v>
      </c>
      <c r="EM62" s="290" t="s">
        <v>124</v>
      </c>
      <c r="EN62" s="290" t="s">
        <v>124</v>
      </c>
      <c r="EO62" s="290" t="s">
        <v>124</v>
      </c>
      <c r="EP62" s="290" t="s">
        <v>124</v>
      </c>
      <c r="EQ62" s="290" t="s">
        <v>124</v>
      </c>
      <c r="ER62" s="290" t="s">
        <v>124</v>
      </c>
      <c r="ES62" s="290" t="s">
        <v>124</v>
      </c>
      <c r="ET62" s="290" t="s">
        <v>124</v>
      </c>
      <c r="EU62" s="294" t="s">
        <v>124</v>
      </c>
      <c r="EV62" s="286" t="s">
        <v>1317</v>
      </c>
      <c r="EW62" s="286" t="s">
        <v>68</v>
      </c>
      <c r="EX62" s="286" t="s">
        <v>68</v>
      </c>
      <c r="EY62" s="286" t="s">
        <v>1318</v>
      </c>
      <c r="EZ62" s="286" t="s">
        <v>68</v>
      </c>
      <c r="FA62" s="286" t="s">
        <v>68</v>
      </c>
      <c r="FB62" s="286" t="s">
        <v>68</v>
      </c>
      <c r="FC62" s="286" t="s">
        <v>68</v>
      </c>
      <c r="FD62" s="286" t="s">
        <v>1301</v>
      </c>
    </row>
    <row r="63" spans="2:160" s="6" customFormat="1" ht="13.5" customHeight="1" outlineLevel="2" x14ac:dyDescent="0.35">
      <c r="B63" s="295" t="s">
        <v>1296</v>
      </c>
      <c r="C63" s="287" t="s">
        <v>134</v>
      </c>
      <c r="D63" s="287" t="s">
        <v>159</v>
      </c>
      <c r="E63" s="287" t="s">
        <v>160</v>
      </c>
      <c r="F63" s="296" t="s">
        <v>160</v>
      </c>
      <c r="G63" s="287" t="s">
        <v>158</v>
      </c>
      <c r="H63" s="287" t="s">
        <v>158</v>
      </c>
      <c r="I63" s="296" t="s">
        <v>158</v>
      </c>
      <c r="J63" s="288" t="s">
        <v>158</v>
      </c>
      <c r="K63" s="287" t="s">
        <v>158</v>
      </c>
      <c r="L63" s="289" t="s">
        <v>158</v>
      </c>
      <c r="M63" s="289" t="s">
        <v>158</v>
      </c>
      <c r="N63" s="289" t="s">
        <v>158</v>
      </c>
      <c r="O63" s="289" t="s">
        <v>158</v>
      </c>
      <c r="P63" s="290">
        <f t="shared" si="1"/>
        <v>0</v>
      </c>
      <c r="Q63" s="290" t="s">
        <v>67</v>
      </c>
      <c r="R63" s="290" t="s">
        <v>124</v>
      </c>
      <c r="S63" s="290" t="s">
        <v>68</v>
      </c>
      <c r="T63" s="286" t="s">
        <v>133</v>
      </c>
      <c r="U63" s="291" t="s">
        <v>1319</v>
      </c>
      <c r="V63" s="292"/>
      <c r="W63" s="293"/>
      <c r="X63" s="293"/>
      <c r="Y63" s="293" t="s">
        <v>1320</v>
      </c>
      <c r="Z63" s="293"/>
      <c r="AA63" s="293"/>
      <c r="AB63" s="293"/>
      <c r="AC63" s="293"/>
      <c r="AD63" s="293"/>
      <c r="AE63" s="293"/>
      <c r="AF63" s="293"/>
      <c r="AG63" s="293"/>
      <c r="AH63" s="286" t="s">
        <v>1321</v>
      </c>
      <c r="AI63" s="290" t="s">
        <v>124</v>
      </c>
      <c r="AJ63" s="290" t="s">
        <v>124</v>
      </c>
      <c r="AK63" s="290" t="s">
        <v>124</v>
      </c>
      <c r="AL63" s="290" t="s">
        <v>124</v>
      </c>
      <c r="AM63" s="290" t="s">
        <v>124</v>
      </c>
      <c r="AN63" s="290" t="s">
        <v>124</v>
      </c>
      <c r="AO63" s="290" t="s">
        <v>124</v>
      </c>
      <c r="AP63" s="290" t="s">
        <v>124</v>
      </c>
      <c r="AQ63" s="290" t="s">
        <v>124</v>
      </c>
      <c r="AR63" s="290" t="s">
        <v>124</v>
      </c>
      <c r="AS63" s="290" t="s">
        <v>124</v>
      </c>
      <c r="AT63" s="290" t="s">
        <v>124</v>
      </c>
      <c r="AU63" s="290" t="s">
        <v>124</v>
      </c>
      <c r="AV63" s="290" t="s">
        <v>124</v>
      </c>
      <c r="AW63" s="290" t="s">
        <v>124</v>
      </c>
      <c r="AX63" s="290" t="s">
        <v>124</v>
      </c>
      <c r="AY63" s="290" t="s">
        <v>124</v>
      </c>
      <c r="AZ63" s="290" t="s">
        <v>124</v>
      </c>
      <c r="BA63" s="290" t="s">
        <v>124</v>
      </c>
      <c r="BB63" s="290" t="s">
        <v>124</v>
      </c>
      <c r="BC63" s="290" t="s">
        <v>124</v>
      </c>
      <c r="BD63" s="290" t="s">
        <v>124</v>
      </c>
      <c r="BE63" s="290" t="s">
        <v>124</v>
      </c>
      <c r="BF63" s="290" t="s">
        <v>124</v>
      </c>
      <c r="BG63" s="290" t="s">
        <v>124</v>
      </c>
      <c r="BH63" s="290" t="s">
        <v>124</v>
      </c>
      <c r="BI63" s="290" t="s">
        <v>124</v>
      </c>
      <c r="BJ63" s="290" t="s">
        <v>124</v>
      </c>
      <c r="BK63" s="290" t="s">
        <v>124</v>
      </c>
      <c r="BL63" s="290" t="s">
        <v>124</v>
      </c>
      <c r="BM63" s="290" t="s">
        <v>124</v>
      </c>
      <c r="BN63" s="290" t="s">
        <v>124</v>
      </c>
      <c r="BO63" s="290" t="s">
        <v>124</v>
      </c>
      <c r="BP63" s="290" t="s">
        <v>124</v>
      </c>
      <c r="BQ63" s="290" t="s">
        <v>124</v>
      </c>
      <c r="BR63" s="290" t="s">
        <v>124</v>
      </c>
      <c r="BS63" s="290" t="s">
        <v>124</v>
      </c>
      <c r="BT63" s="290" t="s">
        <v>124</v>
      </c>
      <c r="BU63" s="290" t="s">
        <v>124</v>
      </c>
      <c r="BV63" s="290" t="s">
        <v>124</v>
      </c>
      <c r="BW63" s="290" t="s">
        <v>124</v>
      </c>
      <c r="BX63" s="290" t="s">
        <v>124</v>
      </c>
      <c r="BY63" s="290" t="s">
        <v>124</v>
      </c>
      <c r="BZ63" s="290" t="s">
        <v>124</v>
      </c>
      <c r="CA63" s="290" t="s">
        <v>124</v>
      </c>
      <c r="CB63" s="290" t="s">
        <v>124</v>
      </c>
      <c r="CC63" s="290" t="s">
        <v>124</v>
      </c>
      <c r="CD63" s="290" t="s">
        <v>124</v>
      </c>
      <c r="CE63" s="290" t="s">
        <v>124</v>
      </c>
      <c r="CF63" s="290" t="s">
        <v>124</v>
      </c>
      <c r="CG63" s="290" t="s">
        <v>124</v>
      </c>
      <c r="CH63" s="290" t="s">
        <v>124</v>
      </c>
      <c r="CI63" s="290" t="s">
        <v>124</v>
      </c>
      <c r="CJ63" s="290" t="s">
        <v>68</v>
      </c>
      <c r="CK63" s="290" t="s">
        <v>68</v>
      </c>
      <c r="CL63" s="290" t="s">
        <v>124</v>
      </c>
      <c r="CM63" s="290" t="s">
        <v>68</v>
      </c>
      <c r="CN63" s="290" t="s">
        <v>124</v>
      </c>
      <c r="CO63" s="290" t="s">
        <v>124</v>
      </c>
      <c r="CP63" s="290" t="s">
        <v>124</v>
      </c>
      <c r="CQ63" s="290" t="s">
        <v>124</v>
      </c>
      <c r="CR63" s="290" t="s">
        <v>124</v>
      </c>
      <c r="CS63" s="290" t="s">
        <v>124</v>
      </c>
      <c r="CT63" s="290" t="s">
        <v>124</v>
      </c>
      <c r="CU63" s="290" t="s">
        <v>124</v>
      </c>
      <c r="CV63" s="290" t="s">
        <v>124</v>
      </c>
      <c r="CW63" s="290" t="s">
        <v>124</v>
      </c>
      <c r="CX63" s="290" t="s">
        <v>124</v>
      </c>
      <c r="CY63" s="290" t="s">
        <v>124</v>
      </c>
      <c r="CZ63" s="290" t="s">
        <v>124</v>
      </c>
      <c r="DA63" s="290" t="s">
        <v>124</v>
      </c>
      <c r="DB63" s="290" t="s">
        <v>124</v>
      </c>
      <c r="DC63" s="290" t="s">
        <v>124</v>
      </c>
      <c r="DD63" s="290" t="s">
        <v>124</v>
      </c>
      <c r="DE63" s="290" t="s">
        <v>124</v>
      </c>
      <c r="DF63" s="290" t="s">
        <v>124</v>
      </c>
      <c r="DG63" s="290" t="s">
        <v>124</v>
      </c>
      <c r="DH63" s="290" t="s">
        <v>124</v>
      </c>
      <c r="DI63" s="290" t="s">
        <v>124</v>
      </c>
      <c r="DJ63" s="290" t="s">
        <v>124</v>
      </c>
      <c r="DK63" s="290" t="s">
        <v>124</v>
      </c>
      <c r="DL63" s="290" t="s">
        <v>124</v>
      </c>
      <c r="DM63" s="290" t="s">
        <v>124</v>
      </c>
      <c r="DN63" s="290" t="s">
        <v>124</v>
      </c>
      <c r="DO63" s="290" t="s">
        <v>124</v>
      </c>
      <c r="DP63" s="290" t="s">
        <v>124</v>
      </c>
      <c r="DQ63" s="290" t="s">
        <v>124</v>
      </c>
      <c r="DR63" s="290" t="s">
        <v>124</v>
      </c>
      <c r="DS63" s="290" t="s">
        <v>124</v>
      </c>
      <c r="DT63" s="290" t="s">
        <v>124</v>
      </c>
      <c r="DU63" s="290" t="s">
        <v>124</v>
      </c>
      <c r="DV63" s="290" t="s">
        <v>124</v>
      </c>
      <c r="DW63" s="290" t="s">
        <v>124</v>
      </c>
      <c r="DX63" s="290" t="s">
        <v>124</v>
      </c>
      <c r="DY63" s="290" t="s">
        <v>124</v>
      </c>
      <c r="DZ63" s="290" t="s">
        <v>124</v>
      </c>
      <c r="EA63" s="290" t="s">
        <v>124</v>
      </c>
      <c r="EB63" s="290" t="s">
        <v>124</v>
      </c>
      <c r="EC63" s="290" t="s">
        <v>124</v>
      </c>
      <c r="ED63" s="290" t="s">
        <v>124</v>
      </c>
      <c r="EE63" s="290" t="s">
        <v>124</v>
      </c>
      <c r="EF63" s="290" t="s">
        <v>124</v>
      </c>
      <c r="EG63" s="290" t="s">
        <v>124</v>
      </c>
      <c r="EH63" s="290" t="s">
        <v>124</v>
      </c>
      <c r="EI63" s="290" t="s">
        <v>124</v>
      </c>
      <c r="EJ63" s="290" t="s">
        <v>124</v>
      </c>
      <c r="EK63" s="290" t="s">
        <v>124</v>
      </c>
      <c r="EL63" s="290" t="s">
        <v>124</v>
      </c>
      <c r="EM63" s="290" t="s">
        <v>124</v>
      </c>
      <c r="EN63" s="290" t="s">
        <v>124</v>
      </c>
      <c r="EO63" s="290" t="s">
        <v>124</v>
      </c>
      <c r="EP63" s="290" t="s">
        <v>124</v>
      </c>
      <c r="EQ63" s="290" t="s">
        <v>124</v>
      </c>
      <c r="ER63" s="290" t="s">
        <v>124</v>
      </c>
      <c r="ES63" s="290" t="s">
        <v>124</v>
      </c>
      <c r="ET63" s="290" t="s">
        <v>124</v>
      </c>
      <c r="EU63" s="294" t="s">
        <v>124</v>
      </c>
      <c r="EV63" s="286" t="s">
        <v>1317</v>
      </c>
      <c r="EW63" s="286" t="s">
        <v>68</v>
      </c>
      <c r="EX63" s="286" t="s">
        <v>68</v>
      </c>
      <c r="EY63" s="286"/>
      <c r="EZ63" s="286" t="s">
        <v>68</v>
      </c>
      <c r="FA63" s="286" t="s">
        <v>68</v>
      </c>
      <c r="FB63" s="286" t="s">
        <v>68</v>
      </c>
      <c r="FC63" s="286" t="s">
        <v>68</v>
      </c>
      <c r="FD63" s="286" t="s">
        <v>1301</v>
      </c>
    </row>
    <row r="64" spans="2:160" s="6" customFormat="1" ht="13.5" customHeight="1" outlineLevel="2" x14ac:dyDescent="0.35">
      <c r="B64" s="295" t="s">
        <v>1296</v>
      </c>
      <c r="C64" s="287" t="s">
        <v>134</v>
      </c>
      <c r="D64" s="287" t="s">
        <v>159</v>
      </c>
      <c r="E64" s="287" t="s">
        <v>160</v>
      </c>
      <c r="F64" s="296" t="s">
        <v>161</v>
      </c>
      <c r="G64" s="287" t="s">
        <v>158</v>
      </c>
      <c r="H64" s="287" t="s">
        <v>158</v>
      </c>
      <c r="I64" s="296" t="s">
        <v>158</v>
      </c>
      <c r="J64" s="288" t="s">
        <v>158</v>
      </c>
      <c r="K64" s="287" t="s">
        <v>158</v>
      </c>
      <c r="L64" s="289" t="s">
        <v>158</v>
      </c>
      <c r="M64" s="289" t="s">
        <v>158</v>
      </c>
      <c r="N64" s="289" t="s">
        <v>158</v>
      </c>
      <c r="O64" s="289" t="s">
        <v>158</v>
      </c>
      <c r="P64" s="290">
        <f t="shared" si="1"/>
        <v>0</v>
      </c>
      <c r="Q64" s="290" t="s">
        <v>67</v>
      </c>
      <c r="R64" s="290" t="s">
        <v>124</v>
      </c>
      <c r="S64" s="290" t="s">
        <v>68</v>
      </c>
      <c r="T64" s="286" t="s">
        <v>133</v>
      </c>
      <c r="U64" s="291" t="s">
        <v>1322</v>
      </c>
      <c r="V64" s="292"/>
      <c r="W64" s="293"/>
      <c r="X64" s="293"/>
      <c r="Y64" s="293" t="s">
        <v>1323</v>
      </c>
      <c r="Z64" s="293"/>
      <c r="AA64" s="293"/>
      <c r="AB64" s="293"/>
      <c r="AC64" s="293"/>
      <c r="AD64" s="293"/>
      <c r="AE64" s="293"/>
      <c r="AF64" s="293"/>
      <c r="AG64" s="293"/>
      <c r="AH64" s="286" t="s">
        <v>1324</v>
      </c>
      <c r="AI64" s="290" t="s">
        <v>124</v>
      </c>
      <c r="AJ64" s="290" t="s">
        <v>124</v>
      </c>
      <c r="AK64" s="290" t="s">
        <v>124</v>
      </c>
      <c r="AL64" s="290" t="s">
        <v>124</v>
      </c>
      <c r="AM64" s="290" t="s">
        <v>124</v>
      </c>
      <c r="AN64" s="290" t="s">
        <v>124</v>
      </c>
      <c r="AO64" s="290" t="s">
        <v>124</v>
      </c>
      <c r="AP64" s="290" t="s">
        <v>124</v>
      </c>
      <c r="AQ64" s="290" t="s">
        <v>124</v>
      </c>
      <c r="AR64" s="290" t="s">
        <v>124</v>
      </c>
      <c r="AS64" s="290" t="s">
        <v>124</v>
      </c>
      <c r="AT64" s="290" t="s">
        <v>124</v>
      </c>
      <c r="AU64" s="290" t="s">
        <v>124</v>
      </c>
      <c r="AV64" s="290" t="s">
        <v>124</v>
      </c>
      <c r="AW64" s="290" t="s">
        <v>124</v>
      </c>
      <c r="AX64" s="290" t="s">
        <v>124</v>
      </c>
      <c r="AY64" s="290" t="s">
        <v>124</v>
      </c>
      <c r="AZ64" s="290" t="s">
        <v>124</v>
      </c>
      <c r="BA64" s="290" t="s">
        <v>124</v>
      </c>
      <c r="BB64" s="290" t="s">
        <v>124</v>
      </c>
      <c r="BC64" s="290" t="s">
        <v>124</v>
      </c>
      <c r="BD64" s="290" t="s">
        <v>124</v>
      </c>
      <c r="BE64" s="290" t="s">
        <v>124</v>
      </c>
      <c r="BF64" s="290" t="s">
        <v>124</v>
      </c>
      <c r="BG64" s="290" t="s">
        <v>124</v>
      </c>
      <c r="BH64" s="290" t="s">
        <v>124</v>
      </c>
      <c r="BI64" s="290" t="s">
        <v>124</v>
      </c>
      <c r="BJ64" s="290" t="s">
        <v>124</v>
      </c>
      <c r="BK64" s="290" t="s">
        <v>124</v>
      </c>
      <c r="BL64" s="290" t="s">
        <v>124</v>
      </c>
      <c r="BM64" s="290" t="s">
        <v>124</v>
      </c>
      <c r="BN64" s="290" t="s">
        <v>124</v>
      </c>
      <c r="BO64" s="290" t="s">
        <v>124</v>
      </c>
      <c r="BP64" s="290" t="s">
        <v>124</v>
      </c>
      <c r="BQ64" s="290" t="s">
        <v>124</v>
      </c>
      <c r="BR64" s="290" t="s">
        <v>124</v>
      </c>
      <c r="BS64" s="290" t="s">
        <v>124</v>
      </c>
      <c r="BT64" s="290" t="s">
        <v>124</v>
      </c>
      <c r="BU64" s="290" t="s">
        <v>124</v>
      </c>
      <c r="BV64" s="290" t="s">
        <v>124</v>
      </c>
      <c r="BW64" s="290" t="s">
        <v>124</v>
      </c>
      <c r="BX64" s="290" t="s">
        <v>124</v>
      </c>
      <c r="BY64" s="290" t="s">
        <v>124</v>
      </c>
      <c r="BZ64" s="290" t="s">
        <v>124</v>
      </c>
      <c r="CA64" s="290" t="s">
        <v>124</v>
      </c>
      <c r="CB64" s="290" t="s">
        <v>124</v>
      </c>
      <c r="CC64" s="290" t="s">
        <v>124</v>
      </c>
      <c r="CD64" s="290" t="s">
        <v>124</v>
      </c>
      <c r="CE64" s="290" t="s">
        <v>124</v>
      </c>
      <c r="CF64" s="290" t="s">
        <v>124</v>
      </c>
      <c r="CG64" s="290" t="s">
        <v>124</v>
      </c>
      <c r="CH64" s="290" t="s">
        <v>124</v>
      </c>
      <c r="CI64" s="290" t="s">
        <v>124</v>
      </c>
      <c r="CJ64" s="290" t="s">
        <v>68</v>
      </c>
      <c r="CK64" s="290" t="s">
        <v>68</v>
      </c>
      <c r="CL64" s="290" t="s">
        <v>124</v>
      </c>
      <c r="CM64" s="290" t="s">
        <v>68</v>
      </c>
      <c r="CN64" s="290" t="s">
        <v>124</v>
      </c>
      <c r="CO64" s="290" t="s">
        <v>124</v>
      </c>
      <c r="CP64" s="290" t="s">
        <v>124</v>
      </c>
      <c r="CQ64" s="290" t="s">
        <v>124</v>
      </c>
      <c r="CR64" s="290" t="s">
        <v>124</v>
      </c>
      <c r="CS64" s="290" t="s">
        <v>124</v>
      </c>
      <c r="CT64" s="290" t="s">
        <v>124</v>
      </c>
      <c r="CU64" s="290" t="s">
        <v>124</v>
      </c>
      <c r="CV64" s="290" t="s">
        <v>124</v>
      </c>
      <c r="CW64" s="290" t="s">
        <v>124</v>
      </c>
      <c r="CX64" s="290" t="s">
        <v>124</v>
      </c>
      <c r="CY64" s="290" t="s">
        <v>124</v>
      </c>
      <c r="CZ64" s="290" t="s">
        <v>124</v>
      </c>
      <c r="DA64" s="290" t="s">
        <v>124</v>
      </c>
      <c r="DB64" s="290" t="s">
        <v>124</v>
      </c>
      <c r="DC64" s="290" t="s">
        <v>124</v>
      </c>
      <c r="DD64" s="290" t="s">
        <v>124</v>
      </c>
      <c r="DE64" s="290" t="s">
        <v>124</v>
      </c>
      <c r="DF64" s="290" t="s">
        <v>124</v>
      </c>
      <c r="DG64" s="290" t="s">
        <v>124</v>
      </c>
      <c r="DH64" s="290" t="s">
        <v>124</v>
      </c>
      <c r="DI64" s="290" t="s">
        <v>124</v>
      </c>
      <c r="DJ64" s="290" t="s">
        <v>124</v>
      </c>
      <c r="DK64" s="290" t="s">
        <v>124</v>
      </c>
      <c r="DL64" s="290" t="s">
        <v>124</v>
      </c>
      <c r="DM64" s="290" t="s">
        <v>124</v>
      </c>
      <c r="DN64" s="290" t="s">
        <v>124</v>
      </c>
      <c r="DO64" s="290" t="s">
        <v>124</v>
      </c>
      <c r="DP64" s="290" t="s">
        <v>124</v>
      </c>
      <c r="DQ64" s="290" t="s">
        <v>124</v>
      </c>
      <c r="DR64" s="290" t="s">
        <v>124</v>
      </c>
      <c r="DS64" s="290" t="s">
        <v>124</v>
      </c>
      <c r="DT64" s="290" t="s">
        <v>124</v>
      </c>
      <c r="DU64" s="290" t="s">
        <v>124</v>
      </c>
      <c r="DV64" s="290" t="s">
        <v>124</v>
      </c>
      <c r="DW64" s="290" t="s">
        <v>124</v>
      </c>
      <c r="DX64" s="290" t="s">
        <v>124</v>
      </c>
      <c r="DY64" s="290" t="s">
        <v>124</v>
      </c>
      <c r="DZ64" s="290" t="s">
        <v>124</v>
      </c>
      <c r="EA64" s="290" t="s">
        <v>124</v>
      </c>
      <c r="EB64" s="290" t="s">
        <v>124</v>
      </c>
      <c r="EC64" s="290" t="s">
        <v>124</v>
      </c>
      <c r="ED64" s="290" t="s">
        <v>124</v>
      </c>
      <c r="EE64" s="290" t="s">
        <v>124</v>
      </c>
      <c r="EF64" s="290" t="s">
        <v>124</v>
      </c>
      <c r="EG64" s="290" t="s">
        <v>124</v>
      </c>
      <c r="EH64" s="290" t="s">
        <v>124</v>
      </c>
      <c r="EI64" s="290" t="s">
        <v>124</v>
      </c>
      <c r="EJ64" s="290" t="s">
        <v>124</v>
      </c>
      <c r="EK64" s="290" t="s">
        <v>124</v>
      </c>
      <c r="EL64" s="290" t="s">
        <v>124</v>
      </c>
      <c r="EM64" s="290" t="s">
        <v>124</v>
      </c>
      <c r="EN64" s="290" t="s">
        <v>124</v>
      </c>
      <c r="EO64" s="290" t="s">
        <v>124</v>
      </c>
      <c r="EP64" s="290" t="s">
        <v>124</v>
      </c>
      <c r="EQ64" s="290" t="s">
        <v>124</v>
      </c>
      <c r="ER64" s="290" t="s">
        <v>124</v>
      </c>
      <c r="ES64" s="290" t="s">
        <v>124</v>
      </c>
      <c r="ET64" s="290" t="s">
        <v>124</v>
      </c>
      <c r="EU64" s="294" t="s">
        <v>124</v>
      </c>
      <c r="EV64" s="286" t="s">
        <v>1317</v>
      </c>
      <c r="EW64" s="286" t="s">
        <v>68</v>
      </c>
      <c r="EX64" s="286" t="s">
        <v>68</v>
      </c>
      <c r="EY64" s="286"/>
      <c r="EZ64" s="286" t="s">
        <v>68</v>
      </c>
      <c r="FA64" s="286" t="s">
        <v>68</v>
      </c>
      <c r="FB64" s="286" t="s">
        <v>68</v>
      </c>
      <c r="FC64" s="286" t="s">
        <v>68</v>
      </c>
      <c r="FD64" s="286" t="s">
        <v>1301</v>
      </c>
    </row>
    <row r="65" spans="2:160" s="6" customFormat="1" ht="13.5" customHeight="1" outlineLevel="2" x14ac:dyDescent="0.35">
      <c r="B65" s="295" t="s">
        <v>1296</v>
      </c>
      <c r="C65" s="287" t="s">
        <v>134</v>
      </c>
      <c r="D65" s="287" t="s">
        <v>159</v>
      </c>
      <c r="E65" s="287" t="s">
        <v>160</v>
      </c>
      <c r="F65" s="296" t="s">
        <v>162</v>
      </c>
      <c r="G65" s="287" t="s">
        <v>158</v>
      </c>
      <c r="H65" s="287" t="s">
        <v>158</v>
      </c>
      <c r="I65" s="296" t="s">
        <v>158</v>
      </c>
      <c r="J65" s="288" t="s">
        <v>158</v>
      </c>
      <c r="K65" s="287" t="s">
        <v>158</v>
      </c>
      <c r="L65" s="289" t="s">
        <v>158</v>
      </c>
      <c r="M65" s="289" t="s">
        <v>158</v>
      </c>
      <c r="N65" s="289" t="s">
        <v>158</v>
      </c>
      <c r="O65" s="289" t="s">
        <v>158</v>
      </c>
      <c r="P65" s="290">
        <f t="shared" si="1"/>
        <v>0</v>
      </c>
      <c r="Q65" s="290" t="s">
        <v>67</v>
      </c>
      <c r="R65" s="290" t="s">
        <v>124</v>
      </c>
      <c r="S65" s="290" t="s">
        <v>68</v>
      </c>
      <c r="T65" s="286" t="s">
        <v>133</v>
      </c>
      <c r="U65" s="291" t="s">
        <v>1325</v>
      </c>
      <c r="V65" s="292"/>
      <c r="W65" s="293"/>
      <c r="X65" s="293"/>
      <c r="Y65" s="293" t="s">
        <v>1177</v>
      </c>
      <c r="Z65" s="293"/>
      <c r="AA65" s="293"/>
      <c r="AB65" s="293"/>
      <c r="AC65" s="293"/>
      <c r="AD65" s="293"/>
      <c r="AE65" s="293"/>
      <c r="AF65" s="293"/>
      <c r="AG65" s="293"/>
      <c r="AH65" s="286" t="s">
        <v>1326</v>
      </c>
      <c r="AI65" s="290" t="s">
        <v>124</v>
      </c>
      <c r="AJ65" s="290" t="s">
        <v>124</v>
      </c>
      <c r="AK65" s="290" t="s">
        <v>124</v>
      </c>
      <c r="AL65" s="290" t="s">
        <v>124</v>
      </c>
      <c r="AM65" s="290" t="s">
        <v>124</v>
      </c>
      <c r="AN65" s="290" t="s">
        <v>124</v>
      </c>
      <c r="AO65" s="290" t="s">
        <v>124</v>
      </c>
      <c r="AP65" s="290" t="s">
        <v>124</v>
      </c>
      <c r="AQ65" s="290" t="s">
        <v>124</v>
      </c>
      <c r="AR65" s="290" t="s">
        <v>124</v>
      </c>
      <c r="AS65" s="290" t="s">
        <v>124</v>
      </c>
      <c r="AT65" s="290" t="s">
        <v>124</v>
      </c>
      <c r="AU65" s="290" t="s">
        <v>124</v>
      </c>
      <c r="AV65" s="290" t="s">
        <v>124</v>
      </c>
      <c r="AW65" s="290" t="s">
        <v>124</v>
      </c>
      <c r="AX65" s="290" t="s">
        <v>124</v>
      </c>
      <c r="AY65" s="290" t="s">
        <v>124</v>
      </c>
      <c r="AZ65" s="290" t="s">
        <v>124</v>
      </c>
      <c r="BA65" s="290" t="s">
        <v>124</v>
      </c>
      <c r="BB65" s="290" t="s">
        <v>124</v>
      </c>
      <c r="BC65" s="290" t="s">
        <v>124</v>
      </c>
      <c r="BD65" s="290" t="s">
        <v>124</v>
      </c>
      <c r="BE65" s="290" t="s">
        <v>124</v>
      </c>
      <c r="BF65" s="290" t="s">
        <v>124</v>
      </c>
      <c r="BG65" s="290" t="s">
        <v>124</v>
      </c>
      <c r="BH65" s="290" t="s">
        <v>124</v>
      </c>
      <c r="BI65" s="290" t="s">
        <v>124</v>
      </c>
      <c r="BJ65" s="290" t="s">
        <v>124</v>
      </c>
      <c r="BK65" s="290" t="s">
        <v>124</v>
      </c>
      <c r="BL65" s="290" t="s">
        <v>124</v>
      </c>
      <c r="BM65" s="290" t="s">
        <v>124</v>
      </c>
      <c r="BN65" s="290" t="s">
        <v>124</v>
      </c>
      <c r="BO65" s="290" t="s">
        <v>124</v>
      </c>
      <c r="BP65" s="290" t="s">
        <v>124</v>
      </c>
      <c r="BQ65" s="290" t="s">
        <v>124</v>
      </c>
      <c r="BR65" s="290" t="s">
        <v>124</v>
      </c>
      <c r="BS65" s="290" t="s">
        <v>124</v>
      </c>
      <c r="BT65" s="290" t="s">
        <v>124</v>
      </c>
      <c r="BU65" s="290" t="s">
        <v>124</v>
      </c>
      <c r="BV65" s="290" t="s">
        <v>124</v>
      </c>
      <c r="BW65" s="290" t="s">
        <v>124</v>
      </c>
      <c r="BX65" s="290" t="s">
        <v>124</v>
      </c>
      <c r="BY65" s="290" t="s">
        <v>124</v>
      </c>
      <c r="BZ65" s="290" t="s">
        <v>124</v>
      </c>
      <c r="CA65" s="290" t="s">
        <v>124</v>
      </c>
      <c r="CB65" s="290" t="s">
        <v>124</v>
      </c>
      <c r="CC65" s="290" t="s">
        <v>124</v>
      </c>
      <c r="CD65" s="290" t="s">
        <v>124</v>
      </c>
      <c r="CE65" s="290" t="s">
        <v>124</v>
      </c>
      <c r="CF65" s="290" t="s">
        <v>124</v>
      </c>
      <c r="CG65" s="290" t="s">
        <v>124</v>
      </c>
      <c r="CH65" s="290" t="s">
        <v>124</v>
      </c>
      <c r="CI65" s="290" t="s">
        <v>124</v>
      </c>
      <c r="CJ65" s="290" t="s">
        <v>68</v>
      </c>
      <c r="CK65" s="290" t="s">
        <v>68</v>
      </c>
      <c r="CL65" s="290" t="s">
        <v>124</v>
      </c>
      <c r="CM65" s="290" t="s">
        <v>68</v>
      </c>
      <c r="CN65" s="290" t="s">
        <v>124</v>
      </c>
      <c r="CO65" s="290" t="s">
        <v>124</v>
      </c>
      <c r="CP65" s="290" t="s">
        <v>124</v>
      </c>
      <c r="CQ65" s="290" t="s">
        <v>124</v>
      </c>
      <c r="CR65" s="290" t="s">
        <v>124</v>
      </c>
      <c r="CS65" s="290" t="s">
        <v>124</v>
      </c>
      <c r="CT65" s="290" t="s">
        <v>124</v>
      </c>
      <c r="CU65" s="290" t="s">
        <v>124</v>
      </c>
      <c r="CV65" s="290" t="s">
        <v>124</v>
      </c>
      <c r="CW65" s="290" t="s">
        <v>124</v>
      </c>
      <c r="CX65" s="290" t="s">
        <v>124</v>
      </c>
      <c r="CY65" s="290" t="s">
        <v>124</v>
      </c>
      <c r="CZ65" s="290" t="s">
        <v>124</v>
      </c>
      <c r="DA65" s="290" t="s">
        <v>124</v>
      </c>
      <c r="DB65" s="290" t="s">
        <v>124</v>
      </c>
      <c r="DC65" s="290" t="s">
        <v>124</v>
      </c>
      <c r="DD65" s="290" t="s">
        <v>124</v>
      </c>
      <c r="DE65" s="290" t="s">
        <v>124</v>
      </c>
      <c r="DF65" s="290" t="s">
        <v>124</v>
      </c>
      <c r="DG65" s="290" t="s">
        <v>124</v>
      </c>
      <c r="DH65" s="290" t="s">
        <v>124</v>
      </c>
      <c r="DI65" s="290" t="s">
        <v>124</v>
      </c>
      <c r="DJ65" s="290" t="s">
        <v>124</v>
      </c>
      <c r="DK65" s="290" t="s">
        <v>124</v>
      </c>
      <c r="DL65" s="290" t="s">
        <v>124</v>
      </c>
      <c r="DM65" s="290" t="s">
        <v>124</v>
      </c>
      <c r="DN65" s="290" t="s">
        <v>124</v>
      </c>
      <c r="DO65" s="290" t="s">
        <v>124</v>
      </c>
      <c r="DP65" s="290" t="s">
        <v>124</v>
      </c>
      <c r="DQ65" s="290" t="s">
        <v>124</v>
      </c>
      <c r="DR65" s="290" t="s">
        <v>124</v>
      </c>
      <c r="DS65" s="290" t="s">
        <v>124</v>
      </c>
      <c r="DT65" s="290" t="s">
        <v>124</v>
      </c>
      <c r="DU65" s="290" t="s">
        <v>124</v>
      </c>
      <c r="DV65" s="290" t="s">
        <v>124</v>
      </c>
      <c r="DW65" s="290" t="s">
        <v>124</v>
      </c>
      <c r="DX65" s="290" t="s">
        <v>124</v>
      </c>
      <c r="DY65" s="290" t="s">
        <v>124</v>
      </c>
      <c r="DZ65" s="290" t="s">
        <v>124</v>
      </c>
      <c r="EA65" s="290" t="s">
        <v>124</v>
      </c>
      <c r="EB65" s="290" t="s">
        <v>124</v>
      </c>
      <c r="EC65" s="290" t="s">
        <v>124</v>
      </c>
      <c r="ED65" s="290" t="s">
        <v>124</v>
      </c>
      <c r="EE65" s="290" t="s">
        <v>124</v>
      </c>
      <c r="EF65" s="290" t="s">
        <v>124</v>
      </c>
      <c r="EG65" s="290" t="s">
        <v>124</v>
      </c>
      <c r="EH65" s="290" t="s">
        <v>67</v>
      </c>
      <c r="EI65" s="290" t="s">
        <v>67</v>
      </c>
      <c r="EJ65" s="290" t="s">
        <v>67</v>
      </c>
      <c r="EK65" s="290" t="s">
        <v>67</v>
      </c>
      <c r="EL65" s="290" t="s">
        <v>67</v>
      </c>
      <c r="EM65" s="290" t="s">
        <v>124</v>
      </c>
      <c r="EN65" s="290" t="s">
        <v>124</v>
      </c>
      <c r="EO65" s="290" t="s">
        <v>124</v>
      </c>
      <c r="EP65" s="290" t="s">
        <v>124</v>
      </c>
      <c r="EQ65" s="290" t="s">
        <v>124</v>
      </c>
      <c r="ER65" s="290" t="s">
        <v>124</v>
      </c>
      <c r="ES65" s="290" t="s">
        <v>124</v>
      </c>
      <c r="ET65" s="290" t="s">
        <v>124</v>
      </c>
      <c r="EU65" s="294" t="s">
        <v>124</v>
      </c>
      <c r="EV65" s="286" t="s">
        <v>1317</v>
      </c>
      <c r="EW65" s="286" t="s">
        <v>68</v>
      </c>
      <c r="EX65" s="286" t="s">
        <v>68</v>
      </c>
      <c r="EY65" s="286" t="s">
        <v>1327</v>
      </c>
      <c r="EZ65" s="286" t="s">
        <v>68</v>
      </c>
      <c r="FA65" s="286" t="s">
        <v>68</v>
      </c>
      <c r="FB65" s="286" t="s">
        <v>68</v>
      </c>
      <c r="FC65" s="286" t="s">
        <v>68</v>
      </c>
      <c r="FD65" s="286" t="s">
        <v>1301</v>
      </c>
    </row>
    <row r="66" spans="2:160" s="6" customFormat="1" ht="13.5" customHeight="1" outlineLevel="2" x14ac:dyDescent="0.35">
      <c r="B66" s="295" t="s">
        <v>1296</v>
      </c>
      <c r="C66" s="287" t="s">
        <v>134</v>
      </c>
      <c r="D66" s="287" t="s">
        <v>159</v>
      </c>
      <c r="E66" s="287" t="s">
        <v>160</v>
      </c>
      <c r="F66" s="296" t="s">
        <v>163</v>
      </c>
      <c r="G66" s="287" t="s">
        <v>158</v>
      </c>
      <c r="H66" s="287" t="s">
        <v>158</v>
      </c>
      <c r="I66" s="296" t="s">
        <v>158</v>
      </c>
      <c r="J66" s="288" t="s">
        <v>158</v>
      </c>
      <c r="K66" s="287" t="s">
        <v>158</v>
      </c>
      <c r="L66" s="289" t="s">
        <v>158</v>
      </c>
      <c r="M66" s="289" t="s">
        <v>158</v>
      </c>
      <c r="N66" s="289" t="s">
        <v>158</v>
      </c>
      <c r="O66" s="289" t="s">
        <v>158</v>
      </c>
      <c r="P66" s="290">
        <f t="shared" si="1"/>
        <v>0</v>
      </c>
      <c r="Q66" s="290" t="s">
        <v>67</v>
      </c>
      <c r="R66" s="290" t="s">
        <v>124</v>
      </c>
      <c r="S66" s="290" t="s">
        <v>68</v>
      </c>
      <c r="T66" s="286" t="s">
        <v>133</v>
      </c>
      <c r="U66" s="291" t="s">
        <v>1328</v>
      </c>
      <c r="V66" s="292"/>
      <c r="W66" s="293"/>
      <c r="X66" s="293"/>
      <c r="Y66" s="293" t="s">
        <v>1178</v>
      </c>
      <c r="Z66" s="293"/>
      <c r="AA66" s="293"/>
      <c r="AB66" s="293"/>
      <c r="AC66" s="293"/>
      <c r="AD66" s="293"/>
      <c r="AE66" s="293"/>
      <c r="AF66" s="293"/>
      <c r="AG66" s="293"/>
      <c r="AH66" s="286" t="s">
        <v>1329</v>
      </c>
      <c r="AI66" s="290" t="s">
        <v>124</v>
      </c>
      <c r="AJ66" s="290" t="s">
        <v>124</v>
      </c>
      <c r="AK66" s="290" t="s">
        <v>124</v>
      </c>
      <c r="AL66" s="290" t="s">
        <v>124</v>
      </c>
      <c r="AM66" s="290" t="s">
        <v>124</v>
      </c>
      <c r="AN66" s="290" t="s">
        <v>124</v>
      </c>
      <c r="AO66" s="290" t="s">
        <v>124</v>
      </c>
      <c r="AP66" s="290" t="s">
        <v>124</v>
      </c>
      <c r="AQ66" s="290" t="s">
        <v>124</v>
      </c>
      <c r="AR66" s="290" t="s">
        <v>124</v>
      </c>
      <c r="AS66" s="290" t="s">
        <v>124</v>
      </c>
      <c r="AT66" s="290" t="s">
        <v>124</v>
      </c>
      <c r="AU66" s="290" t="s">
        <v>124</v>
      </c>
      <c r="AV66" s="290" t="s">
        <v>124</v>
      </c>
      <c r="AW66" s="290" t="s">
        <v>124</v>
      </c>
      <c r="AX66" s="290" t="s">
        <v>124</v>
      </c>
      <c r="AY66" s="290" t="s">
        <v>124</v>
      </c>
      <c r="AZ66" s="290" t="s">
        <v>124</v>
      </c>
      <c r="BA66" s="290" t="s">
        <v>124</v>
      </c>
      <c r="BB66" s="290" t="s">
        <v>124</v>
      </c>
      <c r="BC66" s="290" t="s">
        <v>124</v>
      </c>
      <c r="BD66" s="290" t="s">
        <v>124</v>
      </c>
      <c r="BE66" s="290" t="s">
        <v>124</v>
      </c>
      <c r="BF66" s="290" t="s">
        <v>124</v>
      </c>
      <c r="BG66" s="290" t="s">
        <v>124</v>
      </c>
      <c r="BH66" s="290" t="s">
        <v>124</v>
      </c>
      <c r="BI66" s="290" t="s">
        <v>124</v>
      </c>
      <c r="BJ66" s="290" t="s">
        <v>124</v>
      </c>
      <c r="BK66" s="290" t="s">
        <v>124</v>
      </c>
      <c r="BL66" s="290" t="s">
        <v>124</v>
      </c>
      <c r="BM66" s="290" t="s">
        <v>124</v>
      </c>
      <c r="BN66" s="290" t="s">
        <v>124</v>
      </c>
      <c r="BO66" s="290" t="s">
        <v>124</v>
      </c>
      <c r="BP66" s="290" t="s">
        <v>124</v>
      </c>
      <c r="BQ66" s="290" t="s">
        <v>124</v>
      </c>
      <c r="BR66" s="290" t="s">
        <v>124</v>
      </c>
      <c r="BS66" s="290" t="s">
        <v>124</v>
      </c>
      <c r="BT66" s="290" t="s">
        <v>124</v>
      </c>
      <c r="BU66" s="290" t="s">
        <v>124</v>
      </c>
      <c r="BV66" s="290" t="s">
        <v>124</v>
      </c>
      <c r="BW66" s="290" t="s">
        <v>124</v>
      </c>
      <c r="BX66" s="290" t="s">
        <v>124</v>
      </c>
      <c r="BY66" s="290" t="s">
        <v>124</v>
      </c>
      <c r="BZ66" s="290" t="s">
        <v>124</v>
      </c>
      <c r="CA66" s="290" t="s">
        <v>124</v>
      </c>
      <c r="CB66" s="290" t="s">
        <v>124</v>
      </c>
      <c r="CC66" s="290" t="s">
        <v>124</v>
      </c>
      <c r="CD66" s="290" t="s">
        <v>124</v>
      </c>
      <c r="CE66" s="290" t="s">
        <v>124</v>
      </c>
      <c r="CF66" s="290" t="s">
        <v>124</v>
      </c>
      <c r="CG66" s="290" t="s">
        <v>124</v>
      </c>
      <c r="CH66" s="290" t="s">
        <v>124</v>
      </c>
      <c r="CI66" s="290" t="s">
        <v>124</v>
      </c>
      <c r="CJ66" s="290" t="s">
        <v>68</v>
      </c>
      <c r="CK66" s="290" t="s">
        <v>68</v>
      </c>
      <c r="CL66" s="290" t="s">
        <v>124</v>
      </c>
      <c r="CM66" s="290" t="s">
        <v>68</v>
      </c>
      <c r="CN66" s="290" t="s">
        <v>124</v>
      </c>
      <c r="CO66" s="290" t="s">
        <v>124</v>
      </c>
      <c r="CP66" s="290" t="s">
        <v>124</v>
      </c>
      <c r="CQ66" s="290" t="s">
        <v>124</v>
      </c>
      <c r="CR66" s="290" t="s">
        <v>124</v>
      </c>
      <c r="CS66" s="290" t="s">
        <v>124</v>
      </c>
      <c r="CT66" s="290" t="s">
        <v>124</v>
      </c>
      <c r="CU66" s="290" t="s">
        <v>124</v>
      </c>
      <c r="CV66" s="290" t="s">
        <v>124</v>
      </c>
      <c r="CW66" s="290" t="s">
        <v>124</v>
      </c>
      <c r="CX66" s="290" t="s">
        <v>124</v>
      </c>
      <c r="CY66" s="290" t="s">
        <v>124</v>
      </c>
      <c r="CZ66" s="290" t="s">
        <v>124</v>
      </c>
      <c r="DA66" s="290" t="s">
        <v>124</v>
      </c>
      <c r="DB66" s="290" t="s">
        <v>124</v>
      </c>
      <c r="DC66" s="290" t="s">
        <v>124</v>
      </c>
      <c r="DD66" s="290" t="s">
        <v>124</v>
      </c>
      <c r="DE66" s="290" t="s">
        <v>124</v>
      </c>
      <c r="DF66" s="290" t="s">
        <v>124</v>
      </c>
      <c r="DG66" s="290" t="s">
        <v>124</v>
      </c>
      <c r="DH66" s="290" t="s">
        <v>124</v>
      </c>
      <c r="DI66" s="290" t="s">
        <v>124</v>
      </c>
      <c r="DJ66" s="290" t="s">
        <v>124</v>
      </c>
      <c r="DK66" s="290" t="s">
        <v>124</v>
      </c>
      <c r="DL66" s="290" t="s">
        <v>124</v>
      </c>
      <c r="DM66" s="290" t="s">
        <v>124</v>
      </c>
      <c r="DN66" s="290" t="s">
        <v>124</v>
      </c>
      <c r="DO66" s="290" t="s">
        <v>124</v>
      </c>
      <c r="DP66" s="290" t="s">
        <v>124</v>
      </c>
      <c r="DQ66" s="290" t="s">
        <v>124</v>
      </c>
      <c r="DR66" s="290" t="s">
        <v>124</v>
      </c>
      <c r="DS66" s="290" t="s">
        <v>124</v>
      </c>
      <c r="DT66" s="290" t="s">
        <v>124</v>
      </c>
      <c r="DU66" s="290" t="s">
        <v>124</v>
      </c>
      <c r="DV66" s="290" t="s">
        <v>124</v>
      </c>
      <c r="DW66" s="290" t="s">
        <v>124</v>
      </c>
      <c r="DX66" s="290" t="s">
        <v>124</v>
      </c>
      <c r="DY66" s="290" t="s">
        <v>124</v>
      </c>
      <c r="DZ66" s="290" t="s">
        <v>124</v>
      </c>
      <c r="EA66" s="290" t="s">
        <v>124</v>
      </c>
      <c r="EB66" s="290" t="s">
        <v>124</v>
      </c>
      <c r="EC66" s="290" t="s">
        <v>124</v>
      </c>
      <c r="ED66" s="290" t="s">
        <v>124</v>
      </c>
      <c r="EE66" s="290" t="s">
        <v>124</v>
      </c>
      <c r="EF66" s="290" t="s">
        <v>124</v>
      </c>
      <c r="EG66" s="290" t="s">
        <v>124</v>
      </c>
      <c r="EH66" s="290" t="s">
        <v>124</v>
      </c>
      <c r="EI66" s="290" t="s">
        <v>124</v>
      </c>
      <c r="EJ66" s="290" t="s">
        <v>124</v>
      </c>
      <c r="EK66" s="290" t="s">
        <v>124</v>
      </c>
      <c r="EL66" s="290" t="s">
        <v>124</v>
      </c>
      <c r="EM66" s="290" t="s">
        <v>67</v>
      </c>
      <c r="EN66" s="290" t="s">
        <v>67</v>
      </c>
      <c r="EO66" s="290" t="s">
        <v>67</v>
      </c>
      <c r="EP66" s="290" t="s">
        <v>67</v>
      </c>
      <c r="EQ66" s="290" t="s">
        <v>67</v>
      </c>
      <c r="ER66" s="290" t="s">
        <v>124</v>
      </c>
      <c r="ES66" s="290" t="s">
        <v>124</v>
      </c>
      <c r="ET66" s="290" t="s">
        <v>124</v>
      </c>
      <c r="EU66" s="294" t="s">
        <v>124</v>
      </c>
      <c r="EV66" s="286" t="s">
        <v>1317</v>
      </c>
      <c r="EW66" s="286" t="s">
        <v>68</v>
      </c>
      <c r="EX66" s="286" t="s">
        <v>68</v>
      </c>
      <c r="EY66" s="286" t="s">
        <v>1330</v>
      </c>
      <c r="EZ66" s="286" t="s">
        <v>68</v>
      </c>
      <c r="FA66" s="286" t="s">
        <v>68</v>
      </c>
      <c r="FB66" s="286" t="s">
        <v>68</v>
      </c>
      <c r="FC66" s="286" t="s">
        <v>68</v>
      </c>
      <c r="FD66" s="286" t="s">
        <v>1301</v>
      </c>
    </row>
    <row r="67" spans="2:160" s="6" customFormat="1" ht="13.5" customHeight="1" outlineLevel="2" x14ac:dyDescent="0.35">
      <c r="B67" s="295" t="s">
        <v>1296</v>
      </c>
      <c r="C67" s="287" t="s">
        <v>134</v>
      </c>
      <c r="D67" s="287" t="s">
        <v>159</v>
      </c>
      <c r="E67" s="287" t="s">
        <v>160</v>
      </c>
      <c r="F67" s="296" t="s">
        <v>164</v>
      </c>
      <c r="G67" s="287" t="s">
        <v>158</v>
      </c>
      <c r="H67" s="287" t="s">
        <v>158</v>
      </c>
      <c r="I67" s="296" t="s">
        <v>158</v>
      </c>
      <c r="J67" s="288" t="s">
        <v>158</v>
      </c>
      <c r="K67" s="287" t="s">
        <v>158</v>
      </c>
      <c r="L67" s="289" t="s">
        <v>158</v>
      </c>
      <c r="M67" s="289" t="s">
        <v>158</v>
      </c>
      <c r="N67" s="289" t="s">
        <v>158</v>
      </c>
      <c r="O67" s="289" t="s">
        <v>158</v>
      </c>
      <c r="P67" s="290">
        <f t="shared" si="1"/>
        <v>0</v>
      </c>
      <c r="Q67" s="290" t="s">
        <v>67</v>
      </c>
      <c r="R67" s="290" t="s">
        <v>124</v>
      </c>
      <c r="S67" s="290" t="s">
        <v>68</v>
      </c>
      <c r="T67" s="286" t="s">
        <v>133</v>
      </c>
      <c r="U67" s="291" t="s">
        <v>1331</v>
      </c>
      <c r="V67" s="292"/>
      <c r="W67" s="293"/>
      <c r="X67" s="293"/>
      <c r="Y67" s="293" t="s">
        <v>1179</v>
      </c>
      <c r="Z67" s="293"/>
      <c r="AA67" s="293"/>
      <c r="AB67" s="293"/>
      <c r="AC67" s="293"/>
      <c r="AD67" s="293"/>
      <c r="AE67" s="293"/>
      <c r="AF67" s="293"/>
      <c r="AG67" s="293"/>
      <c r="AH67" s="286" t="s">
        <v>1332</v>
      </c>
      <c r="AI67" s="290" t="s">
        <v>124</v>
      </c>
      <c r="AJ67" s="290" t="s">
        <v>124</v>
      </c>
      <c r="AK67" s="290" t="s">
        <v>124</v>
      </c>
      <c r="AL67" s="290" t="s">
        <v>124</v>
      </c>
      <c r="AM67" s="290" t="s">
        <v>124</v>
      </c>
      <c r="AN67" s="290" t="s">
        <v>124</v>
      </c>
      <c r="AO67" s="290" t="s">
        <v>124</v>
      </c>
      <c r="AP67" s="290" t="s">
        <v>124</v>
      </c>
      <c r="AQ67" s="290" t="s">
        <v>124</v>
      </c>
      <c r="AR67" s="290" t="s">
        <v>124</v>
      </c>
      <c r="AS67" s="290" t="s">
        <v>124</v>
      </c>
      <c r="AT67" s="290" t="s">
        <v>124</v>
      </c>
      <c r="AU67" s="290" t="s">
        <v>124</v>
      </c>
      <c r="AV67" s="290" t="s">
        <v>124</v>
      </c>
      <c r="AW67" s="290" t="s">
        <v>124</v>
      </c>
      <c r="AX67" s="290" t="s">
        <v>124</v>
      </c>
      <c r="AY67" s="290" t="s">
        <v>124</v>
      </c>
      <c r="AZ67" s="290" t="s">
        <v>124</v>
      </c>
      <c r="BA67" s="290" t="s">
        <v>124</v>
      </c>
      <c r="BB67" s="290" t="s">
        <v>124</v>
      </c>
      <c r="BC67" s="290" t="s">
        <v>124</v>
      </c>
      <c r="BD67" s="290" t="s">
        <v>124</v>
      </c>
      <c r="BE67" s="290" t="s">
        <v>124</v>
      </c>
      <c r="BF67" s="290" t="s">
        <v>124</v>
      </c>
      <c r="BG67" s="290" t="s">
        <v>124</v>
      </c>
      <c r="BH67" s="290" t="s">
        <v>124</v>
      </c>
      <c r="BI67" s="290" t="s">
        <v>124</v>
      </c>
      <c r="BJ67" s="290" t="s">
        <v>124</v>
      </c>
      <c r="BK67" s="290" t="s">
        <v>124</v>
      </c>
      <c r="BL67" s="290" t="s">
        <v>124</v>
      </c>
      <c r="BM67" s="290" t="s">
        <v>124</v>
      </c>
      <c r="BN67" s="290" t="s">
        <v>124</v>
      </c>
      <c r="BO67" s="290" t="s">
        <v>124</v>
      </c>
      <c r="BP67" s="290" t="s">
        <v>124</v>
      </c>
      <c r="BQ67" s="290" t="s">
        <v>124</v>
      </c>
      <c r="BR67" s="290" t="s">
        <v>124</v>
      </c>
      <c r="BS67" s="290" t="s">
        <v>124</v>
      </c>
      <c r="BT67" s="290" t="s">
        <v>124</v>
      </c>
      <c r="BU67" s="290" t="s">
        <v>124</v>
      </c>
      <c r="BV67" s="290" t="s">
        <v>124</v>
      </c>
      <c r="BW67" s="290" t="s">
        <v>124</v>
      </c>
      <c r="BX67" s="290" t="s">
        <v>124</v>
      </c>
      <c r="BY67" s="290" t="s">
        <v>124</v>
      </c>
      <c r="BZ67" s="290" t="s">
        <v>124</v>
      </c>
      <c r="CA67" s="290" t="s">
        <v>124</v>
      </c>
      <c r="CB67" s="290" t="s">
        <v>124</v>
      </c>
      <c r="CC67" s="290" t="s">
        <v>124</v>
      </c>
      <c r="CD67" s="290" t="s">
        <v>124</v>
      </c>
      <c r="CE67" s="290" t="s">
        <v>124</v>
      </c>
      <c r="CF67" s="290" t="s">
        <v>124</v>
      </c>
      <c r="CG67" s="290" t="s">
        <v>124</v>
      </c>
      <c r="CH67" s="290" t="s">
        <v>124</v>
      </c>
      <c r="CI67" s="290" t="s">
        <v>124</v>
      </c>
      <c r="CJ67" s="290" t="s">
        <v>68</v>
      </c>
      <c r="CK67" s="290" t="s">
        <v>68</v>
      </c>
      <c r="CL67" s="290" t="s">
        <v>124</v>
      </c>
      <c r="CM67" s="290" t="s">
        <v>68</v>
      </c>
      <c r="CN67" s="290" t="s">
        <v>124</v>
      </c>
      <c r="CO67" s="290" t="s">
        <v>124</v>
      </c>
      <c r="CP67" s="290" t="s">
        <v>124</v>
      </c>
      <c r="CQ67" s="290" t="s">
        <v>124</v>
      </c>
      <c r="CR67" s="290" t="s">
        <v>124</v>
      </c>
      <c r="CS67" s="290" t="s">
        <v>124</v>
      </c>
      <c r="CT67" s="290" t="s">
        <v>124</v>
      </c>
      <c r="CU67" s="290" t="s">
        <v>124</v>
      </c>
      <c r="CV67" s="290" t="s">
        <v>124</v>
      </c>
      <c r="CW67" s="290" t="s">
        <v>124</v>
      </c>
      <c r="CX67" s="290" t="s">
        <v>124</v>
      </c>
      <c r="CY67" s="290" t="s">
        <v>124</v>
      </c>
      <c r="CZ67" s="290" t="s">
        <v>124</v>
      </c>
      <c r="DA67" s="290" t="s">
        <v>124</v>
      </c>
      <c r="DB67" s="290" t="s">
        <v>124</v>
      </c>
      <c r="DC67" s="290" t="s">
        <v>124</v>
      </c>
      <c r="DD67" s="290" t="s">
        <v>124</v>
      </c>
      <c r="DE67" s="290" t="s">
        <v>124</v>
      </c>
      <c r="DF67" s="290" t="s">
        <v>124</v>
      </c>
      <c r="DG67" s="290" t="s">
        <v>124</v>
      </c>
      <c r="DH67" s="290" t="s">
        <v>124</v>
      </c>
      <c r="DI67" s="290" t="s">
        <v>124</v>
      </c>
      <c r="DJ67" s="290" t="s">
        <v>124</v>
      </c>
      <c r="DK67" s="290" t="s">
        <v>124</v>
      </c>
      <c r="DL67" s="290" t="s">
        <v>124</v>
      </c>
      <c r="DM67" s="290" t="s">
        <v>124</v>
      </c>
      <c r="DN67" s="290" t="s">
        <v>124</v>
      </c>
      <c r="DO67" s="290" t="s">
        <v>124</v>
      </c>
      <c r="DP67" s="290" t="s">
        <v>124</v>
      </c>
      <c r="DQ67" s="290" t="s">
        <v>124</v>
      </c>
      <c r="DR67" s="290" t="s">
        <v>124</v>
      </c>
      <c r="DS67" s="290" t="s">
        <v>124</v>
      </c>
      <c r="DT67" s="290" t="s">
        <v>124</v>
      </c>
      <c r="DU67" s="290" t="s">
        <v>124</v>
      </c>
      <c r="DV67" s="290" t="s">
        <v>124</v>
      </c>
      <c r="DW67" s="290" t="s">
        <v>124</v>
      </c>
      <c r="DX67" s="290" t="s">
        <v>124</v>
      </c>
      <c r="DY67" s="290" t="s">
        <v>124</v>
      </c>
      <c r="DZ67" s="290" t="s">
        <v>124</v>
      </c>
      <c r="EA67" s="290" t="s">
        <v>124</v>
      </c>
      <c r="EB67" s="290" t="s">
        <v>124</v>
      </c>
      <c r="EC67" s="290" t="s">
        <v>124</v>
      </c>
      <c r="ED67" s="290" t="s">
        <v>124</v>
      </c>
      <c r="EE67" s="290" t="s">
        <v>124</v>
      </c>
      <c r="EF67" s="290" t="s">
        <v>124</v>
      </c>
      <c r="EG67" s="290" t="s">
        <v>124</v>
      </c>
      <c r="EH67" s="290" t="s">
        <v>124</v>
      </c>
      <c r="EI67" s="290" t="s">
        <v>124</v>
      </c>
      <c r="EJ67" s="290" t="s">
        <v>124</v>
      </c>
      <c r="EK67" s="290" t="s">
        <v>124</v>
      </c>
      <c r="EL67" s="290" t="s">
        <v>124</v>
      </c>
      <c r="EM67" s="290" t="s">
        <v>124</v>
      </c>
      <c r="EN67" s="290" t="s">
        <v>124</v>
      </c>
      <c r="EO67" s="290" t="s">
        <v>124</v>
      </c>
      <c r="EP67" s="290" t="s">
        <v>124</v>
      </c>
      <c r="EQ67" s="290" t="s">
        <v>124</v>
      </c>
      <c r="ER67" s="290" t="s">
        <v>67</v>
      </c>
      <c r="ES67" s="290" t="s">
        <v>67</v>
      </c>
      <c r="ET67" s="290" t="s">
        <v>67</v>
      </c>
      <c r="EU67" s="294" t="s">
        <v>67</v>
      </c>
      <c r="EV67" s="286" t="s">
        <v>1317</v>
      </c>
      <c r="EW67" s="286" t="s">
        <v>68</v>
      </c>
      <c r="EX67" s="286" t="s">
        <v>68</v>
      </c>
      <c r="EY67" s="286" t="s">
        <v>1333</v>
      </c>
      <c r="EZ67" s="286" t="s">
        <v>68</v>
      </c>
      <c r="FA67" s="286" t="s">
        <v>68</v>
      </c>
      <c r="FB67" s="286" t="s">
        <v>68</v>
      </c>
      <c r="FC67" s="286" t="s">
        <v>68</v>
      </c>
      <c r="FD67" s="286" t="s">
        <v>1301</v>
      </c>
    </row>
  </sheetData>
  <mergeCells count="54">
    <mergeCell ref="AC5:AC6"/>
    <mergeCell ref="FD5:FD6"/>
    <mergeCell ref="AE5:AE6"/>
    <mergeCell ref="AF5:AF6"/>
    <mergeCell ref="AG5:AG6"/>
    <mergeCell ref="EV5:EV6"/>
    <mergeCell ref="EW5:EW6"/>
    <mergeCell ref="EX5:EX6"/>
    <mergeCell ref="EY5:EY6"/>
    <mergeCell ref="EZ5:EZ6"/>
    <mergeCell ref="FA5:FA6"/>
    <mergeCell ref="FB5:FB6"/>
    <mergeCell ref="FC5:FC6"/>
    <mergeCell ref="X5:X6"/>
    <mergeCell ref="Y5:Y6"/>
    <mergeCell ref="Z5:Z6"/>
    <mergeCell ref="AA5:AA6"/>
    <mergeCell ref="AB5:AB6"/>
    <mergeCell ref="R5:R6"/>
    <mergeCell ref="S5:S6"/>
    <mergeCell ref="T5:T6"/>
    <mergeCell ref="V5:V6"/>
    <mergeCell ref="W5:W6"/>
    <mergeCell ref="EV3:FC4"/>
    <mergeCell ref="FD3:FD4"/>
    <mergeCell ref="AI4:BG4"/>
    <mergeCell ref="BH4:BJ4"/>
    <mergeCell ref="BK4:BQ4"/>
    <mergeCell ref="BR4:BS4"/>
    <mergeCell ref="BT4:CF4"/>
    <mergeCell ref="CG4:CI4"/>
    <mergeCell ref="CJ4:CK4"/>
    <mergeCell ref="CL4:CM4"/>
    <mergeCell ref="DO4:DW4"/>
    <mergeCell ref="DX4:EG4"/>
    <mergeCell ref="EH4:EL4"/>
    <mergeCell ref="EM4:EQ4"/>
    <mergeCell ref="ER4:EU4"/>
    <mergeCell ref="A1:BN1"/>
    <mergeCell ref="A2:BN2"/>
    <mergeCell ref="A3:T4"/>
    <mergeCell ref="U3:U6"/>
    <mergeCell ref="V3:AG4"/>
    <mergeCell ref="AH3:AH6"/>
    <mergeCell ref="AI3:EU3"/>
    <mergeCell ref="CN4:CY4"/>
    <mergeCell ref="CZ4:DE4"/>
    <mergeCell ref="DF4:DN4"/>
    <mergeCell ref="A5:A6"/>
    <mergeCell ref="B5:B6"/>
    <mergeCell ref="C5:O5"/>
    <mergeCell ref="P5:P6"/>
    <mergeCell ref="Q5:Q6"/>
    <mergeCell ref="AD5:AD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B3:R20"/>
  <sheetViews>
    <sheetView topLeftCell="B1" workbookViewId="0">
      <selection activeCell="I8" sqref="I8"/>
    </sheetView>
  </sheetViews>
  <sheetFormatPr defaultColWidth="9.36328125" defaultRowHeight="14" x14ac:dyDescent="0.3"/>
  <cols>
    <col min="1" max="1" width="9.36328125" style="741"/>
    <col min="2" max="2" width="12.36328125" style="741" customWidth="1"/>
    <col min="3" max="3" width="17.453125" style="741" customWidth="1"/>
    <col min="4" max="4" width="15" style="741" customWidth="1"/>
    <col min="5" max="5" width="17" style="741" customWidth="1"/>
    <col min="6" max="6" width="15.36328125" style="741" bestFit="1" customWidth="1"/>
    <col min="7" max="7" width="17.54296875" style="741" customWidth="1"/>
    <col min="8" max="8" width="15" style="741" customWidth="1"/>
    <col min="9" max="9" width="15.36328125" style="741" customWidth="1"/>
    <col min="10" max="10" width="16.36328125" style="741" customWidth="1"/>
    <col min="11" max="15" width="15.36328125" style="741" bestFit="1" customWidth="1"/>
    <col min="16" max="16" width="16.453125" style="741" bestFit="1" customWidth="1"/>
    <col min="17" max="17" width="17.6328125" style="741" bestFit="1" customWidth="1"/>
    <col min="18" max="18" width="9.36328125" style="741" bestFit="1" customWidth="1"/>
    <col min="19" max="16384" width="9.36328125" style="741"/>
  </cols>
  <sheetData>
    <row r="3" spans="2:16" x14ac:dyDescent="0.3">
      <c r="B3" s="1144" t="s">
        <v>1866</v>
      </c>
      <c r="C3" s="1144"/>
      <c r="D3" s="1144"/>
      <c r="E3" s="1144"/>
      <c r="F3" s="1144"/>
      <c r="G3" s="1144"/>
    </row>
    <row r="4" spans="2:16" ht="28" x14ac:dyDescent="0.3">
      <c r="B4" s="731" t="s">
        <v>1867</v>
      </c>
      <c r="C4" s="730" t="s">
        <v>1869</v>
      </c>
      <c r="D4" s="731" t="s">
        <v>1870</v>
      </c>
      <c r="E4" s="731" t="s">
        <v>1871</v>
      </c>
      <c r="F4" s="731" t="s">
        <v>1872</v>
      </c>
      <c r="G4" s="731" t="s">
        <v>1873</v>
      </c>
    </row>
    <row r="5" spans="2:16" x14ac:dyDescent="0.3">
      <c r="B5" s="745">
        <v>27929</v>
      </c>
      <c r="C5" s="737" t="s">
        <v>1868</v>
      </c>
      <c r="D5" s="737">
        <v>50</v>
      </c>
      <c r="E5" s="737">
        <v>1.34</v>
      </c>
      <c r="F5" s="738">
        <f>B5*D5*E5</f>
        <v>1871243</v>
      </c>
      <c r="G5" s="738">
        <f>F5*3</f>
        <v>5613729</v>
      </c>
    </row>
    <row r="6" spans="2:16" x14ac:dyDescent="0.3">
      <c r="B6" s="736"/>
      <c r="C6" s="737" t="s">
        <v>249</v>
      </c>
      <c r="D6" s="737">
        <v>50</v>
      </c>
      <c r="E6" s="737">
        <v>1.06</v>
      </c>
      <c r="F6" s="738">
        <f>B5*D6*E6</f>
        <v>1480237</v>
      </c>
      <c r="G6" s="738">
        <f>F6*9</f>
        <v>13322133</v>
      </c>
    </row>
    <row r="7" spans="2:16" x14ac:dyDescent="0.3">
      <c r="B7" s="737"/>
      <c r="C7" s="737"/>
      <c r="D7" s="737"/>
      <c r="E7" s="737"/>
      <c r="F7" s="737"/>
      <c r="G7" s="739">
        <f>SUM(G5:G6)</f>
        <v>18935862</v>
      </c>
    </row>
    <row r="8" spans="2:16" x14ac:dyDescent="0.3">
      <c r="B8" s="742"/>
      <c r="C8" s="742"/>
      <c r="D8" s="742"/>
      <c r="E8" s="742"/>
      <c r="F8" s="742"/>
      <c r="G8" s="742"/>
    </row>
    <row r="9" spans="2:16" x14ac:dyDescent="0.3">
      <c r="B9" s="742"/>
      <c r="C9" s="742"/>
      <c r="D9" s="742"/>
      <c r="E9" s="742"/>
      <c r="F9" s="742" t="s">
        <v>1874</v>
      </c>
      <c r="G9" s="743">
        <f>'Tariff Rand Values Old'!V99</f>
        <v>26480977.577</v>
      </c>
    </row>
    <row r="10" spans="2:16" x14ac:dyDescent="0.3">
      <c r="B10" s="742"/>
      <c r="C10" s="742"/>
      <c r="D10" s="742"/>
      <c r="E10" s="742"/>
      <c r="F10" s="742"/>
      <c r="G10" s="742"/>
    </row>
    <row r="11" spans="2:16" x14ac:dyDescent="0.3">
      <c r="B11" s="742"/>
      <c r="C11" s="742"/>
      <c r="D11" s="742"/>
      <c r="E11" s="742"/>
      <c r="F11" s="742" t="s">
        <v>1338</v>
      </c>
      <c r="G11" s="744">
        <f>G7-G9</f>
        <v>-7545115.5769999996</v>
      </c>
    </row>
    <row r="12" spans="2:16" x14ac:dyDescent="0.3">
      <c r="B12" s="742"/>
      <c r="C12" s="742"/>
      <c r="D12" s="742"/>
      <c r="E12" s="742"/>
      <c r="F12" s="742"/>
      <c r="G12" s="742"/>
    </row>
    <row r="13" spans="2:16" x14ac:dyDescent="0.3">
      <c r="B13" s="742"/>
      <c r="C13" s="742"/>
      <c r="D13" s="742"/>
      <c r="E13" s="742"/>
      <c r="F13" s="742"/>
      <c r="G13" s="742"/>
    </row>
    <row r="14" spans="2:16" x14ac:dyDescent="0.3">
      <c r="B14" s="742"/>
      <c r="C14" s="759" t="s">
        <v>1883</v>
      </c>
      <c r="D14" s="760">
        <v>43282</v>
      </c>
      <c r="E14" s="760">
        <v>43313</v>
      </c>
      <c r="F14" s="760">
        <v>43344</v>
      </c>
      <c r="G14" s="760">
        <v>43374</v>
      </c>
      <c r="H14" s="760">
        <v>43405</v>
      </c>
      <c r="I14" s="760">
        <v>43435</v>
      </c>
      <c r="J14" s="760">
        <v>43466</v>
      </c>
      <c r="K14" s="760">
        <v>43497</v>
      </c>
      <c r="L14" s="760">
        <v>43525</v>
      </c>
      <c r="M14" s="760">
        <v>43556</v>
      </c>
      <c r="N14" s="760">
        <v>43586</v>
      </c>
      <c r="O14" s="760">
        <v>43617</v>
      </c>
    </row>
    <row r="15" spans="2:16" x14ac:dyDescent="0.3">
      <c r="B15" s="742"/>
      <c r="C15" s="759" t="s">
        <v>1877</v>
      </c>
      <c r="D15" s="1145" t="s">
        <v>250</v>
      </c>
      <c r="E15" s="1146"/>
      <c r="F15" s="1147" t="s">
        <v>249</v>
      </c>
      <c r="G15" s="1148"/>
      <c r="H15" s="1148"/>
      <c r="I15" s="1148"/>
      <c r="J15" s="1148"/>
      <c r="K15" s="1148"/>
      <c r="L15" s="1148"/>
      <c r="M15" s="1148"/>
      <c r="N15" s="1148"/>
      <c r="O15" s="761" t="s">
        <v>250</v>
      </c>
      <c r="P15" s="762"/>
    </row>
    <row r="16" spans="2:16" x14ac:dyDescent="0.3">
      <c r="B16" s="742"/>
      <c r="C16" s="763" t="s">
        <v>1878</v>
      </c>
      <c r="D16" s="764">
        <v>50</v>
      </c>
      <c r="E16" s="764">
        <v>50</v>
      </c>
      <c r="F16" s="764">
        <v>49.99</v>
      </c>
      <c r="G16" s="764">
        <v>49.99</v>
      </c>
      <c r="H16" s="764">
        <v>49.997</v>
      </c>
      <c r="I16" s="764">
        <v>49.994999999999997</v>
      </c>
      <c r="J16" s="764">
        <v>49.99</v>
      </c>
      <c r="K16" s="764">
        <v>49.991999999999997</v>
      </c>
      <c r="L16" s="764">
        <v>49.99</v>
      </c>
      <c r="M16" s="764">
        <v>49.994999999999997</v>
      </c>
      <c r="N16" s="764">
        <v>49.997999999999998</v>
      </c>
      <c r="O16" s="765">
        <v>50</v>
      </c>
      <c r="P16" s="765"/>
    </row>
    <row r="17" spans="3:18" x14ac:dyDescent="0.3">
      <c r="C17" s="763" t="s">
        <v>1879</v>
      </c>
      <c r="D17" s="764">
        <v>28980</v>
      </c>
      <c r="E17" s="764">
        <v>28977</v>
      </c>
      <c r="F17" s="764">
        <v>28912</v>
      </c>
      <c r="G17" s="764">
        <v>28877</v>
      </c>
      <c r="H17" s="764">
        <v>23397</v>
      </c>
      <c r="I17" s="764">
        <v>23326</v>
      </c>
      <c r="J17" s="764">
        <v>28621</v>
      </c>
      <c r="K17" s="764">
        <v>28549</v>
      </c>
      <c r="L17" s="764">
        <v>28665</v>
      </c>
      <c r="M17" s="764">
        <v>28803</v>
      </c>
      <c r="N17" s="764">
        <v>29051</v>
      </c>
      <c r="O17" s="764">
        <v>28993</v>
      </c>
      <c r="P17" s="766" t="s">
        <v>1880</v>
      </c>
      <c r="Q17" s="746" t="s">
        <v>1884</v>
      </c>
      <c r="R17" s="758">
        <f>AVERAGE(D17:O17)</f>
        <v>27929.25</v>
      </c>
    </row>
    <row r="18" spans="3:18" x14ac:dyDescent="0.3">
      <c r="C18" s="763" t="s">
        <v>1880</v>
      </c>
      <c r="D18" s="764">
        <f>+D16*D17</f>
        <v>1449000</v>
      </c>
      <c r="E18" s="764">
        <f t="shared" ref="E18:O18" si="0">+E16*E17</f>
        <v>1448850</v>
      </c>
      <c r="F18" s="764">
        <f t="shared" si="0"/>
        <v>1445310.8800000001</v>
      </c>
      <c r="G18" s="764">
        <f t="shared" si="0"/>
        <v>1443561.23</v>
      </c>
      <c r="H18" s="764">
        <f t="shared" si="0"/>
        <v>1169779.8089999999</v>
      </c>
      <c r="I18" s="764">
        <f t="shared" si="0"/>
        <v>1166183.3699999999</v>
      </c>
      <c r="J18" s="764">
        <f t="shared" si="0"/>
        <v>1430763.79</v>
      </c>
      <c r="K18" s="764">
        <f t="shared" si="0"/>
        <v>1427221.608</v>
      </c>
      <c r="L18" s="764">
        <f t="shared" si="0"/>
        <v>1432963.35</v>
      </c>
      <c r="M18" s="764">
        <f t="shared" si="0"/>
        <v>1440005.9849999999</v>
      </c>
      <c r="N18" s="764">
        <f t="shared" si="0"/>
        <v>1452491.898</v>
      </c>
      <c r="O18" s="764">
        <f t="shared" si="0"/>
        <v>1449650</v>
      </c>
      <c r="P18" s="765">
        <f>SUM(D18:O18)</f>
        <v>16755781.919999998</v>
      </c>
    </row>
    <row r="19" spans="3:18" x14ac:dyDescent="0.3">
      <c r="C19" s="763" t="s">
        <v>287</v>
      </c>
      <c r="D19" s="767">
        <v>1.3404</v>
      </c>
      <c r="E19" s="767">
        <v>1.3404</v>
      </c>
      <c r="F19" s="767">
        <v>1.0552999999999999</v>
      </c>
      <c r="G19" s="767">
        <v>1.0552999999999999</v>
      </c>
      <c r="H19" s="767">
        <v>1.0552999999999999</v>
      </c>
      <c r="I19" s="767">
        <v>1.0552999999999999</v>
      </c>
      <c r="J19" s="767">
        <v>1.0552999999999999</v>
      </c>
      <c r="K19" s="767">
        <v>1.0552999999999999</v>
      </c>
      <c r="L19" s="767">
        <v>1.0552999999999999</v>
      </c>
      <c r="M19" s="767">
        <v>1.0552999999999999</v>
      </c>
      <c r="N19" s="767">
        <v>1.0552999999999999</v>
      </c>
      <c r="O19" s="767">
        <v>1.3404</v>
      </c>
      <c r="P19" s="766" t="s">
        <v>1881</v>
      </c>
    </row>
    <row r="20" spans="3:18" x14ac:dyDescent="0.3">
      <c r="C20" s="770" t="s">
        <v>1882</v>
      </c>
      <c r="D20" s="769">
        <f>+D18*D19</f>
        <v>1942239.6</v>
      </c>
      <c r="E20" s="769">
        <f t="shared" ref="E20:O20" si="1">+E18*E19</f>
        <v>1942038.54</v>
      </c>
      <c r="F20" s="769">
        <f t="shared" si="1"/>
        <v>1525236.5716639999</v>
      </c>
      <c r="G20" s="769">
        <f t="shared" si="1"/>
        <v>1523390.1660189999</v>
      </c>
      <c r="H20" s="769">
        <f t="shared" si="1"/>
        <v>1234468.6324376997</v>
      </c>
      <c r="I20" s="769">
        <f t="shared" si="1"/>
        <v>1230673.3103609998</v>
      </c>
      <c r="J20" s="769">
        <f t="shared" si="1"/>
        <v>1509885.0275869998</v>
      </c>
      <c r="K20" s="769">
        <f t="shared" si="1"/>
        <v>1506146.9629223999</v>
      </c>
      <c r="L20" s="769">
        <f t="shared" si="1"/>
        <v>1512206.2232550001</v>
      </c>
      <c r="M20" s="769">
        <f t="shared" si="1"/>
        <v>1519638.3159704998</v>
      </c>
      <c r="N20" s="769">
        <f t="shared" si="1"/>
        <v>1532814.6999593999</v>
      </c>
      <c r="O20" s="769">
        <f t="shared" si="1"/>
        <v>1943110.86</v>
      </c>
      <c r="P20" s="768">
        <f>SUM(D20:O20)</f>
        <v>18921848.910175998</v>
      </c>
    </row>
  </sheetData>
  <mergeCells count="3">
    <mergeCell ref="B3:G3"/>
    <mergeCell ref="D15:E15"/>
    <mergeCell ref="F15:N1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P313"/>
  <sheetViews>
    <sheetView topLeftCell="A169" workbookViewId="0"/>
  </sheetViews>
  <sheetFormatPr defaultRowHeight="14.5" x14ac:dyDescent="0.35"/>
  <cols>
    <col min="2" max="2" width="5.54296875" customWidth="1"/>
    <col min="3" max="3" width="10.54296875" style="274" customWidth="1"/>
    <col min="5" max="5" width="0.6328125" customWidth="1"/>
    <col min="6" max="6" width="59" bestFit="1" customWidth="1"/>
    <col min="7" max="7" width="21.453125" hidden="1" customWidth="1"/>
    <col min="8" max="8" width="13.453125" hidden="1" customWidth="1"/>
    <col min="9" max="9" width="14.54296875" hidden="1" customWidth="1"/>
    <col min="10" max="10" width="10.6328125" hidden="1" customWidth="1"/>
    <col min="11" max="11" width="14.36328125" hidden="1" customWidth="1"/>
    <col min="12" max="12" width="14" hidden="1" customWidth="1"/>
    <col min="13" max="13" width="9.36328125" hidden="1" customWidth="1"/>
    <col min="14" max="14" width="9.36328125" customWidth="1"/>
    <col min="15" max="15" width="16.36328125" hidden="1" customWidth="1"/>
    <col min="16" max="17" width="9.36328125" hidden="1" customWidth="1"/>
    <col min="18" max="18" width="11.6328125" hidden="1" customWidth="1"/>
    <col min="19" max="19" width="14.36328125" style="276" bestFit="1" customWidth="1"/>
    <col min="20" max="20" width="1.453125" style="276" hidden="1" customWidth="1"/>
    <col min="21" max="33" width="1.453125" style="275" hidden="1" customWidth="1"/>
    <col min="34" max="34" width="9.36328125" style="274"/>
    <col min="35" max="35" width="9.36328125" style="273"/>
    <col min="36" max="36" width="6" style="250" customWidth="1"/>
    <col min="37" max="37" width="9.36328125" style="271"/>
    <col min="39" max="39" width="9.36328125" style="272"/>
    <col min="42" max="42" width="9.36328125" style="272"/>
    <col min="45" max="45" width="9.36328125" style="271"/>
    <col min="47" max="47" width="9.36328125" style="272"/>
    <col min="50" max="50" width="9.36328125" style="272"/>
    <col min="53" max="53" width="9.36328125" style="271"/>
    <col min="55" max="55" width="9.36328125" style="272"/>
    <col min="58" max="58" width="9.36328125" style="272"/>
    <col min="61" max="61" width="9.36328125" style="271"/>
  </cols>
  <sheetData>
    <row r="1" spans="1:68" x14ac:dyDescent="0.35">
      <c r="A1" s="277" t="s">
        <v>1112</v>
      </c>
      <c r="B1" s="277" t="s">
        <v>1111</v>
      </c>
      <c r="C1" s="283" t="s">
        <v>1110</v>
      </c>
      <c r="D1" s="277" t="s">
        <v>1109</v>
      </c>
      <c r="E1" s="277" t="s">
        <v>1108</v>
      </c>
      <c r="F1" s="277" t="s">
        <v>1107</v>
      </c>
      <c r="G1" s="277" t="s">
        <v>1106</v>
      </c>
      <c r="H1" s="277" t="s">
        <v>1105</v>
      </c>
      <c r="I1" s="277" t="s">
        <v>1104</v>
      </c>
      <c r="J1" s="277" t="s">
        <v>1103</v>
      </c>
      <c r="K1" s="277" t="s">
        <v>1102</v>
      </c>
      <c r="L1" s="277" t="s">
        <v>1101</v>
      </c>
      <c r="M1" s="277" t="s">
        <v>1100</v>
      </c>
      <c r="N1" s="277" t="s">
        <v>1099</v>
      </c>
      <c r="O1" s="277" t="s">
        <v>1098</v>
      </c>
      <c r="P1" s="277" t="s">
        <v>1097</v>
      </c>
      <c r="Q1" s="277" t="s">
        <v>1096</v>
      </c>
      <c r="R1" s="277" t="s">
        <v>1095</v>
      </c>
      <c r="S1" s="285" t="s">
        <v>1094</v>
      </c>
      <c r="T1" s="285" t="s">
        <v>1093</v>
      </c>
      <c r="U1" s="284" t="s">
        <v>1092</v>
      </c>
      <c r="V1" s="284" t="s">
        <v>1091</v>
      </c>
      <c r="W1" s="284" t="s">
        <v>1090</v>
      </c>
      <c r="X1" s="284" t="s">
        <v>1089</v>
      </c>
      <c r="Y1" s="284" t="s">
        <v>1088</v>
      </c>
      <c r="Z1" s="284" t="s">
        <v>1087</v>
      </c>
      <c r="AA1" s="284" t="s">
        <v>1086</v>
      </c>
      <c r="AB1" s="284" t="s">
        <v>1085</v>
      </c>
      <c r="AC1" s="284" t="s">
        <v>1084</v>
      </c>
      <c r="AD1" s="284" t="s">
        <v>1083</v>
      </c>
      <c r="AE1" s="284" t="s">
        <v>1082</v>
      </c>
      <c r="AF1" s="284" t="s">
        <v>1081</v>
      </c>
      <c r="AG1" s="284" t="s">
        <v>1080</v>
      </c>
      <c r="AH1" s="283" t="s">
        <v>1079</v>
      </c>
      <c r="AI1" s="282" t="s">
        <v>1078</v>
      </c>
      <c r="AJ1" s="281" t="s">
        <v>1077</v>
      </c>
      <c r="AK1" s="278" t="s">
        <v>1076</v>
      </c>
      <c r="AL1" s="277" t="s">
        <v>1075</v>
      </c>
      <c r="AM1" s="272" t="s">
        <v>1074</v>
      </c>
      <c r="AN1" s="277" t="s">
        <v>1073</v>
      </c>
      <c r="AO1" s="277" t="s">
        <v>1072</v>
      </c>
      <c r="AP1" s="272" t="s">
        <v>1071</v>
      </c>
      <c r="AQ1" t="s">
        <v>1070</v>
      </c>
      <c r="AR1" t="s">
        <v>1069</v>
      </c>
      <c r="AS1" s="271" t="s">
        <v>1076</v>
      </c>
      <c r="AT1" s="277" t="s">
        <v>1075</v>
      </c>
      <c r="AU1" s="272" t="s">
        <v>1074</v>
      </c>
      <c r="AV1" s="277" t="s">
        <v>1073</v>
      </c>
      <c r="AW1" s="277" t="s">
        <v>1072</v>
      </c>
      <c r="AX1" s="272" t="s">
        <v>1071</v>
      </c>
      <c r="AY1" s="277" t="s">
        <v>1070</v>
      </c>
      <c r="AZ1" s="277" t="s">
        <v>1069</v>
      </c>
      <c r="BA1" s="278" t="s">
        <v>1076</v>
      </c>
      <c r="BB1" s="277" t="s">
        <v>1075</v>
      </c>
      <c r="BC1" s="272" t="s">
        <v>1074</v>
      </c>
      <c r="BD1" s="277" t="s">
        <v>1073</v>
      </c>
      <c r="BE1" s="277" t="s">
        <v>1072</v>
      </c>
      <c r="BF1" s="272" t="s">
        <v>1071</v>
      </c>
      <c r="BG1" s="277" t="s">
        <v>1070</v>
      </c>
      <c r="BH1" s="277" t="s">
        <v>1069</v>
      </c>
      <c r="BI1" s="278" t="s">
        <v>1076</v>
      </c>
      <c r="BJ1" s="277" t="s">
        <v>1075</v>
      </c>
      <c r="BK1" s="277" t="s">
        <v>1074</v>
      </c>
      <c r="BL1" s="277" t="s">
        <v>1073</v>
      </c>
      <c r="BM1" s="277" t="s">
        <v>1072</v>
      </c>
      <c r="BN1" s="277" t="s">
        <v>1071</v>
      </c>
      <c r="BO1" s="277" t="s">
        <v>1070</v>
      </c>
      <c r="BP1" s="277" t="s">
        <v>1069</v>
      </c>
    </row>
    <row r="2" spans="1:68" x14ac:dyDescent="0.35">
      <c r="A2" s="277" t="s">
        <v>563</v>
      </c>
      <c r="B2" s="277" t="s">
        <v>562</v>
      </c>
      <c r="C2" s="283" t="s">
        <v>1068</v>
      </c>
      <c r="D2" s="277" t="s">
        <v>560</v>
      </c>
      <c r="F2" s="277" t="s">
        <v>1067</v>
      </c>
      <c r="K2" s="277" t="s">
        <v>883</v>
      </c>
      <c r="L2" s="277" t="s">
        <v>557</v>
      </c>
      <c r="N2" s="277" t="s">
        <v>884</v>
      </c>
      <c r="O2" s="277" t="s">
        <v>883</v>
      </c>
      <c r="P2" s="277" t="s">
        <v>557</v>
      </c>
      <c r="Q2" s="277" t="s">
        <v>556</v>
      </c>
      <c r="R2" s="277" t="s">
        <v>883</v>
      </c>
      <c r="S2" s="276">
        <v>0</v>
      </c>
      <c r="T2" s="276">
        <v>0</v>
      </c>
      <c r="U2" s="276">
        <v>0</v>
      </c>
      <c r="V2" s="276">
        <v>0</v>
      </c>
      <c r="W2" s="276">
        <v>0</v>
      </c>
      <c r="X2" s="276">
        <v>0</v>
      </c>
      <c r="Y2" s="276">
        <v>0</v>
      </c>
      <c r="Z2" s="276">
        <v>0</v>
      </c>
      <c r="AA2" s="276">
        <v>0</v>
      </c>
      <c r="AB2" s="276">
        <v>0</v>
      </c>
      <c r="AC2" s="276"/>
      <c r="AD2" s="276">
        <v>0</v>
      </c>
      <c r="AE2" s="276"/>
      <c r="AF2" s="276">
        <v>0</v>
      </c>
      <c r="AG2" s="276">
        <v>0</v>
      </c>
      <c r="AH2" s="283" t="s">
        <v>86</v>
      </c>
      <c r="AI2" s="282" t="s">
        <v>932</v>
      </c>
      <c r="AJ2" s="281" t="s">
        <v>553</v>
      </c>
      <c r="AK2" s="280" t="s">
        <v>552</v>
      </c>
      <c r="AL2" s="276">
        <v>2.2200000000000002</v>
      </c>
      <c r="AM2" s="279">
        <v>0</v>
      </c>
      <c r="AN2" s="276">
        <v>0</v>
      </c>
      <c r="AO2" s="276">
        <v>2.2200000000000002</v>
      </c>
      <c r="AP2" s="279">
        <v>0</v>
      </c>
      <c r="AQ2" s="276">
        <v>0</v>
      </c>
      <c r="AR2" s="276">
        <v>0</v>
      </c>
      <c r="AS2" s="271">
        <v>2</v>
      </c>
      <c r="AT2" s="276">
        <v>0</v>
      </c>
      <c r="AU2" s="279">
        <v>0</v>
      </c>
      <c r="AV2" s="276">
        <v>0</v>
      </c>
      <c r="AW2" s="276">
        <v>0</v>
      </c>
      <c r="AX2" s="279">
        <v>0</v>
      </c>
      <c r="AY2" s="276">
        <v>0</v>
      </c>
      <c r="AZ2" s="276">
        <v>0</v>
      </c>
      <c r="BA2" s="278" t="s">
        <v>551</v>
      </c>
      <c r="BB2" s="276">
        <v>0</v>
      </c>
      <c r="BC2" s="279">
        <v>0</v>
      </c>
      <c r="BD2" s="276">
        <v>0</v>
      </c>
      <c r="BE2" s="276">
        <v>0</v>
      </c>
      <c r="BF2" s="279">
        <v>0</v>
      </c>
      <c r="BG2" s="276">
        <v>0</v>
      </c>
      <c r="BH2" s="276">
        <v>0</v>
      </c>
      <c r="BI2" s="278" t="s">
        <v>550</v>
      </c>
      <c r="BJ2" s="276">
        <v>0</v>
      </c>
      <c r="BK2" s="276">
        <v>0</v>
      </c>
      <c r="BL2" s="276">
        <v>0</v>
      </c>
      <c r="BM2" s="276">
        <v>0</v>
      </c>
      <c r="BN2" s="276">
        <v>0</v>
      </c>
      <c r="BO2" s="276">
        <v>0</v>
      </c>
      <c r="BP2" s="276">
        <v>0</v>
      </c>
    </row>
    <row r="3" spans="1:68" x14ac:dyDescent="0.35">
      <c r="A3" s="277" t="s">
        <v>563</v>
      </c>
      <c r="B3" s="277" t="s">
        <v>562</v>
      </c>
      <c r="C3" s="283" t="s">
        <v>1066</v>
      </c>
      <c r="D3" s="277" t="s">
        <v>560</v>
      </c>
      <c r="F3" s="277" t="s">
        <v>1065</v>
      </c>
      <c r="K3" s="277" t="s">
        <v>883</v>
      </c>
      <c r="L3" s="277" t="s">
        <v>557</v>
      </c>
      <c r="N3" s="277" t="s">
        <v>884</v>
      </c>
      <c r="O3" s="277" t="s">
        <v>883</v>
      </c>
      <c r="P3" s="277" t="s">
        <v>557</v>
      </c>
      <c r="Q3" s="277" t="s">
        <v>556</v>
      </c>
      <c r="R3" s="277" t="s">
        <v>883</v>
      </c>
      <c r="S3" s="276">
        <v>0</v>
      </c>
      <c r="T3" s="276">
        <v>0</v>
      </c>
      <c r="U3" s="276">
        <v>0</v>
      </c>
      <c r="V3" s="276">
        <v>0</v>
      </c>
      <c r="W3" s="276">
        <v>0</v>
      </c>
      <c r="X3" s="276">
        <v>0</v>
      </c>
      <c r="Y3" s="276">
        <v>0</v>
      </c>
      <c r="Z3" s="276">
        <v>0</v>
      </c>
      <c r="AA3" s="276">
        <v>0</v>
      </c>
      <c r="AB3" s="276">
        <v>0</v>
      </c>
      <c r="AC3" s="276"/>
      <c r="AD3" s="276">
        <v>0</v>
      </c>
      <c r="AE3" s="276"/>
      <c r="AF3" s="276">
        <v>0</v>
      </c>
      <c r="AG3" s="276">
        <v>0</v>
      </c>
      <c r="AH3" s="283" t="s">
        <v>86</v>
      </c>
      <c r="AI3" s="282" t="s">
        <v>930</v>
      </c>
      <c r="AJ3" s="281" t="s">
        <v>553</v>
      </c>
      <c r="AK3" s="280" t="s">
        <v>552</v>
      </c>
      <c r="AL3" s="276">
        <v>0.9</v>
      </c>
      <c r="AM3" s="279">
        <v>0</v>
      </c>
      <c r="AN3" s="276">
        <v>0</v>
      </c>
      <c r="AO3" s="276">
        <v>0.9</v>
      </c>
      <c r="AP3" s="279">
        <v>0</v>
      </c>
      <c r="AQ3" s="276">
        <v>0</v>
      </c>
      <c r="AR3" s="276">
        <v>0</v>
      </c>
      <c r="AS3" s="271">
        <v>2</v>
      </c>
      <c r="AT3" s="276">
        <v>0</v>
      </c>
      <c r="AU3" s="279">
        <v>0</v>
      </c>
      <c r="AV3" s="276">
        <v>0</v>
      </c>
      <c r="AW3" s="276">
        <v>0</v>
      </c>
      <c r="AX3" s="279">
        <v>0</v>
      </c>
      <c r="AY3" s="276">
        <v>0</v>
      </c>
      <c r="AZ3" s="276">
        <v>0</v>
      </c>
      <c r="BA3" s="278" t="s">
        <v>551</v>
      </c>
      <c r="BB3" s="276">
        <v>0</v>
      </c>
      <c r="BC3" s="279">
        <v>0</v>
      </c>
      <c r="BD3" s="276">
        <v>0</v>
      </c>
      <c r="BE3" s="276">
        <v>0</v>
      </c>
      <c r="BF3" s="279">
        <v>0</v>
      </c>
      <c r="BG3" s="276">
        <v>0</v>
      </c>
      <c r="BH3" s="276">
        <v>0</v>
      </c>
      <c r="BI3" s="278" t="s">
        <v>550</v>
      </c>
      <c r="BJ3" s="276">
        <v>0</v>
      </c>
      <c r="BK3" s="276">
        <v>0</v>
      </c>
      <c r="BL3" s="276">
        <v>0</v>
      </c>
      <c r="BM3" s="276">
        <v>0</v>
      </c>
      <c r="BN3" s="276">
        <v>0</v>
      </c>
      <c r="BO3" s="276">
        <v>0</v>
      </c>
      <c r="BP3" s="276">
        <v>0</v>
      </c>
    </row>
    <row r="4" spans="1:68" x14ac:dyDescent="0.35">
      <c r="A4" s="277" t="s">
        <v>563</v>
      </c>
      <c r="B4" s="277" t="s">
        <v>562</v>
      </c>
      <c r="C4" s="283" t="s">
        <v>933</v>
      </c>
      <c r="D4" s="277" t="s">
        <v>560</v>
      </c>
      <c r="F4" s="277" t="s">
        <v>1064</v>
      </c>
      <c r="K4" s="277" t="s">
        <v>883</v>
      </c>
      <c r="L4" s="277" t="s">
        <v>557</v>
      </c>
      <c r="N4" s="277" t="s">
        <v>884</v>
      </c>
      <c r="O4" s="277" t="s">
        <v>883</v>
      </c>
      <c r="P4" s="277" t="s">
        <v>557</v>
      </c>
      <c r="Q4" s="277" t="s">
        <v>556</v>
      </c>
      <c r="R4" s="277" t="s">
        <v>883</v>
      </c>
      <c r="S4" s="276">
        <v>0</v>
      </c>
      <c r="T4" s="276">
        <v>0</v>
      </c>
      <c r="U4" s="276">
        <v>0</v>
      </c>
      <c r="V4" s="276">
        <v>0</v>
      </c>
      <c r="W4" s="276">
        <v>0</v>
      </c>
      <c r="X4" s="276">
        <v>0</v>
      </c>
      <c r="Y4" s="276">
        <v>0</v>
      </c>
      <c r="Z4" s="276">
        <v>0</v>
      </c>
      <c r="AA4" s="276">
        <v>0</v>
      </c>
      <c r="AB4" s="276">
        <v>0</v>
      </c>
      <c r="AC4" s="276"/>
      <c r="AD4" s="276">
        <v>0</v>
      </c>
      <c r="AE4" s="276"/>
      <c r="AF4" s="276">
        <v>0</v>
      </c>
      <c r="AG4" s="276">
        <v>0</v>
      </c>
      <c r="AH4" s="283" t="s">
        <v>483</v>
      </c>
      <c r="AJ4" s="281" t="s">
        <v>553</v>
      </c>
      <c r="AK4" s="280" t="s">
        <v>552</v>
      </c>
      <c r="AL4" s="276">
        <v>0.54</v>
      </c>
      <c r="AM4" s="279">
        <v>0</v>
      </c>
      <c r="AN4" s="276">
        <v>0</v>
      </c>
      <c r="AO4" s="276">
        <v>0.54</v>
      </c>
      <c r="AP4" s="279">
        <v>0</v>
      </c>
      <c r="AQ4" s="276">
        <v>0</v>
      </c>
      <c r="AR4" s="276">
        <v>0</v>
      </c>
      <c r="AS4" s="271">
        <v>2</v>
      </c>
      <c r="AT4" s="276">
        <v>0</v>
      </c>
      <c r="AU4" s="279">
        <v>0</v>
      </c>
      <c r="AV4" s="276">
        <v>0</v>
      </c>
      <c r="AW4" s="276">
        <v>0</v>
      </c>
      <c r="AX4" s="279">
        <v>0</v>
      </c>
      <c r="AY4" s="276">
        <v>0</v>
      </c>
      <c r="AZ4" s="276">
        <v>0</v>
      </c>
      <c r="BA4" s="278" t="s">
        <v>551</v>
      </c>
      <c r="BB4" s="276">
        <v>0</v>
      </c>
      <c r="BC4" s="279">
        <v>0</v>
      </c>
      <c r="BD4" s="276">
        <v>0</v>
      </c>
      <c r="BE4" s="276">
        <v>0</v>
      </c>
      <c r="BF4" s="279">
        <v>0</v>
      </c>
      <c r="BG4" s="276">
        <v>0</v>
      </c>
      <c r="BH4" s="276">
        <v>0</v>
      </c>
      <c r="BI4" s="278" t="s">
        <v>550</v>
      </c>
      <c r="BJ4" s="276">
        <v>0</v>
      </c>
      <c r="BK4" s="276">
        <v>0</v>
      </c>
      <c r="BL4" s="276">
        <v>0</v>
      </c>
      <c r="BM4" s="276">
        <v>0</v>
      </c>
      <c r="BN4" s="276">
        <v>0</v>
      </c>
      <c r="BO4" s="276">
        <v>0</v>
      </c>
      <c r="BP4" s="276">
        <v>0</v>
      </c>
    </row>
    <row r="5" spans="1:68" x14ac:dyDescent="0.35">
      <c r="A5" s="277" t="s">
        <v>563</v>
      </c>
      <c r="B5" s="277" t="s">
        <v>562</v>
      </c>
      <c r="C5" s="283" t="s">
        <v>272</v>
      </c>
      <c r="D5" s="277" t="s">
        <v>560</v>
      </c>
      <c r="F5" s="277" t="s">
        <v>1063</v>
      </c>
      <c r="K5" s="277" t="s">
        <v>819</v>
      </c>
      <c r="L5" s="277" t="s">
        <v>557</v>
      </c>
      <c r="N5" s="277" t="s">
        <v>820</v>
      </c>
      <c r="O5" s="277" t="s">
        <v>819</v>
      </c>
      <c r="P5" s="277" t="s">
        <v>557</v>
      </c>
      <c r="Q5" s="277" t="s">
        <v>556</v>
      </c>
      <c r="R5" s="277" t="s">
        <v>819</v>
      </c>
      <c r="S5" s="276">
        <v>0</v>
      </c>
      <c r="T5" s="276">
        <v>0</v>
      </c>
      <c r="U5" s="276">
        <v>0</v>
      </c>
      <c r="V5" s="276">
        <v>0</v>
      </c>
      <c r="W5" s="276">
        <v>0</v>
      </c>
      <c r="X5" s="276">
        <v>0</v>
      </c>
      <c r="Y5" s="276">
        <v>0</v>
      </c>
      <c r="Z5" s="276">
        <v>0</v>
      </c>
      <c r="AA5" s="276">
        <v>0</v>
      </c>
      <c r="AB5" s="276">
        <v>0</v>
      </c>
      <c r="AC5" s="276"/>
      <c r="AD5" s="276">
        <v>0</v>
      </c>
      <c r="AE5" s="276"/>
      <c r="AF5" s="276">
        <v>0</v>
      </c>
      <c r="AG5" s="276">
        <v>0</v>
      </c>
      <c r="AH5" s="283" t="s">
        <v>483</v>
      </c>
      <c r="AJ5" s="281" t="s">
        <v>553</v>
      </c>
      <c r="AK5" s="280" t="s">
        <v>552</v>
      </c>
      <c r="AL5" s="276">
        <v>0</v>
      </c>
      <c r="AM5" s="279">
        <v>0</v>
      </c>
      <c r="AN5" s="276">
        <v>43.31</v>
      </c>
      <c r="AO5" s="276">
        <v>0</v>
      </c>
      <c r="AP5" s="279">
        <v>0</v>
      </c>
      <c r="AQ5" s="276">
        <v>0</v>
      </c>
      <c r="AR5" s="276">
        <v>0</v>
      </c>
      <c r="AS5" s="271">
        <v>2</v>
      </c>
      <c r="AT5" s="276">
        <v>0</v>
      </c>
      <c r="AU5" s="279">
        <v>0</v>
      </c>
      <c r="AV5" s="276">
        <v>0</v>
      </c>
      <c r="AW5" s="276">
        <v>0</v>
      </c>
      <c r="AX5" s="279">
        <v>0</v>
      </c>
      <c r="AY5" s="276">
        <v>0</v>
      </c>
      <c r="AZ5" s="276">
        <v>0</v>
      </c>
      <c r="BA5" s="278" t="s">
        <v>551</v>
      </c>
      <c r="BB5" s="276">
        <v>0</v>
      </c>
      <c r="BC5" s="279">
        <v>0</v>
      </c>
      <c r="BD5" s="276">
        <v>0</v>
      </c>
      <c r="BE5" s="276">
        <v>0</v>
      </c>
      <c r="BF5" s="279">
        <v>0</v>
      </c>
      <c r="BG5" s="276">
        <v>0</v>
      </c>
      <c r="BH5" s="276">
        <v>0</v>
      </c>
      <c r="BI5" s="278" t="s">
        <v>550</v>
      </c>
      <c r="BJ5" s="276">
        <v>0</v>
      </c>
      <c r="BK5" s="276">
        <v>0</v>
      </c>
      <c r="BL5" s="276">
        <v>0</v>
      </c>
      <c r="BM5" s="276">
        <v>0</v>
      </c>
      <c r="BN5" s="276">
        <v>0</v>
      </c>
      <c r="BO5" s="276">
        <v>0</v>
      </c>
      <c r="BP5" s="276">
        <v>0</v>
      </c>
    </row>
    <row r="6" spans="1:68" x14ac:dyDescent="0.35">
      <c r="A6" s="277" t="s">
        <v>563</v>
      </c>
      <c r="B6" s="277" t="s">
        <v>562</v>
      </c>
      <c r="C6" s="283" t="s">
        <v>520</v>
      </c>
      <c r="D6" s="277" t="s">
        <v>560</v>
      </c>
      <c r="F6" s="277" t="s">
        <v>519</v>
      </c>
      <c r="K6" s="277" t="s">
        <v>819</v>
      </c>
      <c r="L6" s="277" t="s">
        <v>557</v>
      </c>
      <c r="N6" s="277" t="s">
        <v>820</v>
      </c>
      <c r="O6" s="277" t="s">
        <v>819</v>
      </c>
      <c r="P6" s="277" t="s">
        <v>557</v>
      </c>
      <c r="Q6" s="277" t="s">
        <v>556</v>
      </c>
      <c r="R6" s="277" t="s">
        <v>819</v>
      </c>
      <c r="S6" s="276">
        <v>1509.2</v>
      </c>
      <c r="T6" s="276">
        <v>0</v>
      </c>
      <c r="U6" s="276">
        <v>0</v>
      </c>
      <c r="V6" s="276">
        <v>0</v>
      </c>
      <c r="W6" s="276">
        <v>0</v>
      </c>
      <c r="X6" s="276">
        <v>0</v>
      </c>
      <c r="Y6" s="276">
        <v>0</v>
      </c>
      <c r="Z6" s="276">
        <v>0</v>
      </c>
      <c r="AA6" s="276">
        <v>0</v>
      </c>
      <c r="AB6" s="276">
        <v>0</v>
      </c>
      <c r="AC6" s="276"/>
      <c r="AD6" s="276">
        <v>0</v>
      </c>
      <c r="AE6" s="276"/>
      <c r="AF6" s="276">
        <v>0</v>
      </c>
      <c r="AG6" s="276">
        <v>0</v>
      </c>
      <c r="AH6" s="283" t="s">
        <v>483</v>
      </c>
      <c r="AJ6" s="281" t="s">
        <v>553</v>
      </c>
      <c r="AK6" s="280" t="s">
        <v>552</v>
      </c>
      <c r="AL6" s="276">
        <v>0</v>
      </c>
      <c r="AM6" s="279">
        <v>0</v>
      </c>
      <c r="AN6" s="276">
        <v>0</v>
      </c>
      <c r="AO6" s="276">
        <v>0</v>
      </c>
      <c r="AP6" s="279">
        <v>0</v>
      </c>
      <c r="AQ6" s="276">
        <v>0</v>
      </c>
      <c r="AR6" s="276">
        <v>0</v>
      </c>
      <c r="AS6" s="271">
        <v>2</v>
      </c>
      <c r="AT6" s="276">
        <v>0</v>
      </c>
      <c r="AU6" s="279">
        <v>0</v>
      </c>
      <c r="AV6" s="276">
        <v>0</v>
      </c>
      <c r="AW6" s="276">
        <v>0</v>
      </c>
      <c r="AX6" s="279">
        <v>0</v>
      </c>
      <c r="AY6" s="276">
        <v>0</v>
      </c>
      <c r="AZ6" s="276">
        <v>0</v>
      </c>
      <c r="BA6" s="278" t="s">
        <v>551</v>
      </c>
      <c r="BB6" s="276">
        <v>0</v>
      </c>
      <c r="BC6" s="279">
        <v>0</v>
      </c>
      <c r="BD6" s="276">
        <v>0</v>
      </c>
      <c r="BE6" s="276">
        <v>0</v>
      </c>
      <c r="BF6" s="279">
        <v>0</v>
      </c>
      <c r="BG6" s="276">
        <v>0</v>
      </c>
      <c r="BH6" s="276">
        <v>0</v>
      </c>
      <c r="BI6" s="278" t="s">
        <v>550</v>
      </c>
      <c r="BJ6" s="276">
        <v>0</v>
      </c>
      <c r="BK6" s="276">
        <v>0</v>
      </c>
      <c r="BL6" s="276">
        <v>0</v>
      </c>
      <c r="BM6" s="276">
        <v>0</v>
      </c>
      <c r="BN6" s="276">
        <v>0</v>
      </c>
      <c r="BO6" s="276">
        <v>0</v>
      </c>
      <c r="BP6" s="276">
        <v>0</v>
      </c>
    </row>
    <row r="7" spans="1:68" x14ac:dyDescent="0.35">
      <c r="A7" s="277" t="s">
        <v>563</v>
      </c>
      <c r="B7" s="277" t="s">
        <v>562</v>
      </c>
      <c r="C7" s="283" t="s">
        <v>342</v>
      </c>
      <c r="D7" s="277" t="s">
        <v>560</v>
      </c>
      <c r="F7" s="277" t="s">
        <v>1062</v>
      </c>
      <c r="K7" s="277" t="s">
        <v>819</v>
      </c>
      <c r="L7" s="277" t="s">
        <v>557</v>
      </c>
      <c r="N7" s="277" t="s">
        <v>820</v>
      </c>
      <c r="O7" s="277" t="s">
        <v>819</v>
      </c>
      <c r="P7" s="277" t="s">
        <v>557</v>
      </c>
      <c r="Q7" s="277" t="s">
        <v>556</v>
      </c>
      <c r="R7" s="277" t="s">
        <v>819</v>
      </c>
      <c r="S7" s="276">
        <v>1131.9000000000001</v>
      </c>
      <c r="T7" s="276">
        <v>0</v>
      </c>
      <c r="U7" s="276">
        <v>0</v>
      </c>
      <c r="V7" s="276">
        <v>0</v>
      </c>
      <c r="W7" s="276">
        <v>0</v>
      </c>
      <c r="X7" s="276">
        <v>0</v>
      </c>
      <c r="Y7" s="276">
        <v>0</v>
      </c>
      <c r="Z7" s="276">
        <v>0</v>
      </c>
      <c r="AA7" s="276">
        <v>0</v>
      </c>
      <c r="AB7" s="276">
        <v>0</v>
      </c>
      <c r="AC7" s="276"/>
      <c r="AD7" s="276">
        <v>0</v>
      </c>
      <c r="AE7" s="276"/>
      <c r="AF7" s="276">
        <v>0</v>
      </c>
      <c r="AG7" s="276">
        <v>0</v>
      </c>
      <c r="AH7" s="283" t="s">
        <v>483</v>
      </c>
      <c r="AJ7" s="281" t="s">
        <v>553</v>
      </c>
      <c r="AK7" s="280" t="s">
        <v>552</v>
      </c>
      <c r="AL7" s="276">
        <v>0</v>
      </c>
      <c r="AM7" s="279">
        <v>0</v>
      </c>
      <c r="AN7" s="276">
        <v>0</v>
      </c>
      <c r="AO7" s="276">
        <v>0</v>
      </c>
      <c r="AP7" s="279">
        <v>0</v>
      </c>
      <c r="AQ7" s="276">
        <v>0</v>
      </c>
      <c r="AR7" s="276">
        <v>0</v>
      </c>
      <c r="AS7" s="271">
        <v>2</v>
      </c>
      <c r="AT7" s="276">
        <v>0</v>
      </c>
      <c r="AU7" s="279">
        <v>0</v>
      </c>
      <c r="AV7" s="276">
        <v>0</v>
      </c>
      <c r="AW7" s="276">
        <v>0</v>
      </c>
      <c r="AX7" s="279">
        <v>0</v>
      </c>
      <c r="AY7" s="276">
        <v>0</v>
      </c>
      <c r="AZ7" s="276">
        <v>0</v>
      </c>
      <c r="BA7" s="278" t="s">
        <v>551</v>
      </c>
      <c r="BB7" s="276">
        <v>0</v>
      </c>
      <c r="BC7" s="279">
        <v>0</v>
      </c>
      <c r="BD7" s="276">
        <v>0</v>
      </c>
      <c r="BE7" s="276">
        <v>0</v>
      </c>
      <c r="BF7" s="279">
        <v>0</v>
      </c>
      <c r="BG7" s="276">
        <v>0</v>
      </c>
      <c r="BH7" s="276">
        <v>0</v>
      </c>
      <c r="BI7" s="278" t="s">
        <v>550</v>
      </c>
      <c r="BJ7" s="276">
        <v>0</v>
      </c>
      <c r="BK7" s="276">
        <v>0</v>
      </c>
      <c r="BL7" s="276">
        <v>0</v>
      </c>
      <c r="BM7" s="276">
        <v>0</v>
      </c>
      <c r="BN7" s="276">
        <v>0</v>
      </c>
      <c r="BO7" s="276">
        <v>0</v>
      </c>
      <c r="BP7" s="276">
        <v>0</v>
      </c>
    </row>
    <row r="8" spans="1:68" x14ac:dyDescent="0.35">
      <c r="A8" s="277" t="s">
        <v>563</v>
      </c>
      <c r="B8" s="277" t="s">
        <v>562</v>
      </c>
      <c r="C8" s="283" t="s">
        <v>518</v>
      </c>
      <c r="D8" s="277" t="s">
        <v>560</v>
      </c>
      <c r="F8" s="277" t="s">
        <v>517</v>
      </c>
      <c r="K8" s="277" t="s">
        <v>819</v>
      </c>
      <c r="L8" s="277" t="s">
        <v>557</v>
      </c>
      <c r="N8" s="277" t="s">
        <v>820</v>
      </c>
      <c r="O8" s="277" t="s">
        <v>819</v>
      </c>
      <c r="P8" s="277" t="s">
        <v>557</v>
      </c>
      <c r="Q8" s="277" t="s">
        <v>556</v>
      </c>
      <c r="R8" s="277" t="s">
        <v>819</v>
      </c>
      <c r="S8" s="276">
        <v>0</v>
      </c>
      <c r="T8" s="276">
        <v>0</v>
      </c>
      <c r="U8" s="276">
        <v>0</v>
      </c>
      <c r="V8" s="276">
        <v>0</v>
      </c>
      <c r="W8" s="276">
        <v>0</v>
      </c>
      <c r="X8" s="276">
        <v>0</v>
      </c>
      <c r="Y8" s="276">
        <v>0</v>
      </c>
      <c r="Z8" s="276">
        <v>0</v>
      </c>
      <c r="AA8" s="276">
        <v>0</v>
      </c>
      <c r="AB8" s="276">
        <v>0</v>
      </c>
      <c r="AC8" s="276"/>
      <c r="AD8" s="276">
        <v>0</v>
      </c>
      <c r="AE8" s="276"/>
      <c r="AF8" s="276">
        <v>0</v>
      </c>
      <c r="AG8" s="276">
        <v>0</v>
      </c>
      <c r="AH8" s="283" t="s">
        <v>483</v>
      </c>
      <c r="AJ8" s="281" t="s">
        <v>553</v>
      </c>
      <c r="AK8" s="280" t="s">
        <v>552</v>
      </c>
      <c r="AL8" s="276">
        <v>0</v>
      </c>
      <c r="AM8" s="279">
        <v>0</v>
      </c>
      <c r="AN8" s="276">
        <v>39.369999999999997</v>
      </c>
      <c r="AO8" s="276">
        <v>0</v>
      </c>
      <c r="AP8" s="279">
        <v>0</v>
      </c>
      <c r="AQ8" s="276">
        <v>0</v>
      </c>
      <c r="AR8" s="276">
        <v>0</v>
      </c>
      <c r="AS8" s="271">
        <v>2</v>
      </c>
      <c r="AT8" s="276">
        <v>0</v>
      </c>
      <c r="AU8" s="279">
        <v>0</v>
      </c>
      <c r="AV8" s="276">
        <v>0</v>
      </c>
      <c r="AW8" s="276">
        <v>0</v>
      </c>
      <c r="AX8" s="279">
        <v>0</v>
      </c>
      <c r="AY8" s="276">
        <v>0</v>
      </c>
      <c r="AZ8" s="276">
        <v>0</v>
      </c>
      <c r="BA8" s="278" t="s">
        <v>551</v>
      </c>
      <c r="BB8" s="276">
        <v>0</v>
      </c>
      <c r="BC8" s="279">
        <v>0</v>
      </c>
      <c r="BD8" s="276">
        <v>0</v>
      </c>
      <c r="BE8" s="276">
        <v>0</v>
      </c>
      <c r="BF8" s="279">
        <v>0</v>
      </c>
      <c r="BG8" s="276">
        <v>0</v>
      </c>
      <c r="BH8" s="276">
        <v>0</v>
      </c>
      <c r="BI8" s="278" t="s">
        <v>550</v>
      </c>
      <c r="BJ8" s="276">
        <v>0</v>
      </c>
      <c r="BK8" s="276">
        <v>0</v>
      </c>
      <c r="BL8" s="276">
        <v>0</v>
      </c>
      <c r="BM8" s="276">
        <v>0</v>
      </c>
      <c r="BN8" s="276">
        <v>0</v>
      </c>
      <c r="BO8" s="276">
        <v>0</v>
      </c>
      <c r="BP8" s="276">
        <v>0</v>
      </c>
    </row>
    <row r="9" spans="1:68" x14ac:dyDescent="0.35">
      <c r="A9" s="277" t="s">
        <v>563</v>
      </c>
      <c r="B9" s="277" t="s">
        <v>562</v>
      </c>
      <c r="C9" s="283" t="s">
        <v>1061</v>
      </c>
      <c r="D9" s="277" t="s">
        <v>560</v>
      </c>
      <c r="F9" s="277" t="s">
        <v>1060</v>
      </c>
      <c r="K9" s="277" t="s">
        <v>883</v>
      </c>
      <c r="L9" s="277" t="s">
        <v>557</v>
      </c>
      <c r="N9" s="277" t="s">
        <v>884</v>
      </c>
      <c r="O9" s="277" t="s">
        <v>883</v>
      </c>
      <c r="P9" s="277" t="s">
        <v>557</v>
      </c>
      <c r="Q9" s="277" t="s">
        <v>556</v>
      </c>
      <c r="R9" s="277" t="s">
        <v>883</v>
      </c>
      <c r="S9" s="276">
        <v>0</v>
      </c>
      <c r="T9" s="276">
        <v>0</v>
      </c>
      <c r="U9" s="276">
        <v>0</v>
      </c>
      <c r="V9" s="276">
        <v>0</v>
      </c>
      <c r="W9" s="276">
        <v>0</v>
      </c>
      <c r="X9" s="276">
        <v>0</v>
      </c>
      <c r="Y9" s="276">
        <v>0</v>
      </c>
      <c r="Z9" s="276">
        <v>0</v>
      </c>
      <c r="AA9" s="276">
        <v>0</v>
      </c>
      <c r="AB9" s="276">
        <v>0</v>
      </c>
      <c r="AC9" s="276"/>
      <c r="AD9" s="276">
        <v>0</v>
      </c>
      <c r="AE9" s="276"/>
      <c r="AF9" s="276">
        <v>0</v>
      </c>
      <c r="AG9" s="276">
        <v>0</v>
      </c>
      <c r="AH9" s="283" t="s">
        <v>86</v>
      </c>
      <c r="AI9" s="282" t="s">
        <v>1059</v>
      </c>
      <c r="AJ9" s="281" t="s">
        <v>553</v>
      </c>
      <c r="AK9" s="280" t="s">
        <v>552</v>
      </c>
      <c r="AL9" s="276">
        <v>1.42</v>
      </c>
      <c r="AM9" s="279">
        <v>0</v>
      </c>
      <c r="AN9" s="276">
        <v>0</v>
      </c>
      <c r="AO9" s="276">
        <v>1.42</v>
      </c>
      <c r="AP9" s="279">
        <v>0</v>
      </c>
      <c r="AQ9" s="276">
        <v>0</v>
      </c>
      <c r="AR9" s="276">
        <v>0</v>
      </c>
      <c r="AS9" s="271">
        <v>2</v>
      </c>
      <c r="AT9" s="276">
        <v>0</v>
      </c>
      <c r="AU9" s="279">
        <v>0</v>
      </c>
      <c r="AV9" s="276">
        <v>0</v>
      </c>
      <c r="AW9" s="276">
        <v>0</v>
      </c>
      <c r="AX9" s="279">
        <v>0</v>
      </c>
      <c r="AY9" s="276">
        <v>0</v>
      </c>
      <c r="AZ9" s="276">
        <v>0</v>
      </c>
      <c r="BA9" s="278" t="s">
        <v>551</v>
      </c>
      <c r="BB9" s="276">
        <v>0</v>
      </c>
      <c r="BC9" s="279">
        <v>0</v>
      </c>
      <c r="BD9" s="276">
        <v>0</v>
      </c>
      <c r="BE9" s="276">
        <v>0</v>
      </c>
      <c r="BF9" s="279">
        <v>0</v>
      </c>
      <c r="BG9" s="276">
        <v>0</v>
      </c>
      <c r="BH9" s="276">
        <v>0</v>
      </c>
      <c r="BI9" s="278" t="s">
        <v>550</v>
      </c>
      <c r="BJ9" s="276">
        <v>0</v>
      </c>
      <c r="BK9" s="276">
        <v>0</v>
      </c>
      <c r="BL9" s="276">
        <v>0</v>
      </c>
      <c r="BM9" s="276">
        <v>0</v>
      </c>
      <c r="BN9" s="276">
        <v>0</v>
      </c>
      <c r="BO9" s="276">
        <v>0</v>
      </c>
      <c r="BP9" s="276">
        <v>0</v>
      </c>
    </row>
    <row r="10" spans="1:68" x14ac:dyDescent="0.35">
      <c r="A10" s="277" t="s">
        <v>563</v>
      </c>
      <c r="B10" s="277" t="s">
        <v>562</v>
      </c>
      <c r="C10" s="283" t="s">
        <v>1059</v>
      </c>
      <c r="D10" s="277" t="s">
        <v>560</v>
      </c>
      <c r="F10" s="277" t="s">
        <v>1058</v>
      </c>
      <c r="K10" s="277" t="s">
        <v>883</v>
      </c>
      <c r="L10" s="277" t="s">
        <v>557</v>
      </c>
      <c r="N10" s="277" t="s">
        <v>884</v>
      </c>
      <c r="O10" s="277" t="s">
        <v>883</v>
      </c>
      <c r="P10" s="277" t="s">
        <v>557</v>
      </c>
      <c r="Q10" s="277" t="s">
        <v>556</v>
      </c>
      <c r="R10" s="277" t="s">
        <v>883</v>
      </c>
      <c r="S10" s="276">
        <v>0</v>
      </c>
      <c r="T10" s="276">
        <v>0</v>
      </c>
      <c r="U10" s="276">
        <v>0</v>
      </c>
      <c r="V10" s="276">
        <v>0</v>
      </c>
      <c r="W10" s="276">
        <v>0</v>
      </c>
      <c r="X10" s="276">
        <v>0</v>
      </c>
      <c r="Y10" s="276">
        <v>0</v>
      </c>
      <c r="Z10" s="276">
        <v>0</v>
      </c>
      <c r="AA10" s="276">
        <v>0</v>
      </c>
      <c r="AB10" s="276">
        <v>0</v>
      </c>
      <c r="AC10" s="276"/>
      <c r="AD10" s="276">
        <v>0</v>
      </c>
      <c r="AE10" s="276"/>
      <c r="AF10" s="276">
        <v>0</v>
      </c>
      <c r="AG10" s="276">
        <v>0</v>
      </c>
      <c r="AH10" s="283" t="s">
        <v>483</v>
      </c>
      <c r="AJ10" s="281" t="s">
        <v>553</v>
      </c>
      <c r="AK10" s="280" t="s">
        <v>552</v>
      </c>
      <c r="AL10" s="276">
        <v>1.4</v>
      </c>
      <c r="AM10" s="279">
        <v>0</v>
      </c>
      <c r="AN10" s="276">
        <v>0</v>
      </c>
      <c r="AO10" s="276">
        <v>1.4</v>
      </c>
      <c r="AP10" s="279">
        <v>0</v>
      </c>
      <c r="AQ10" s="276">
        <v>0</v>
      </c>
      <c r="AR10" s="276">
        <v>0</v>
      </c>
      <c r="AS10" s="271">
        <v>2</v>
      </c>
      <c r="AT10" s="276">
        <v>0</v>
      </c>
      <c r="AU10" s="279">
        <v>0</v>
      </c>
      <c r="AV10" s="276">
        <v>0</v>
      </c>
      <c r="AW10" s="276">
        <v>0</v>
      </c>
      <c r="AX10" s="279">
        <v>0</v>
      </c>
      <c r="AY10" s="276">
        <v>0</v>
      </c>
      <c r="AZ10" s="276">
        <v>0</v>
      </c>
      <c r="BA10" s="278" t="s">
        <v>551</v>
      </c>
      <c r="BB10" s="276">
        <v>0</v>
      </c>
      <c r="BC10" s="279">
        <v>0</v>
      </c>
      <c r="BD10" s="276">
        <v>0</v>
      </c>
      <c r="BE10" s="276">
        <v>0</v>
      </c>
      <c r="BF10" s="279">
        <v>0</v>
      </c>
      <c r="BG10" s="276">
        <v>0</v>
      </c>
      <c r="BH10" s="276">
        <v>0</v>
      </c>
      <c r="BI10" s="278" t="s">
        <v>550</v>
      </c>
      <c r="BJ10" s="276">
        <v>0</v>
      </c>
      <c r="BK10" s="276">
        <v>0</v>
      </c>
      <c r="BL10" s="276">
        <v>0</v>
      </c>
      <c r="BM10" s="276">
        <v>0</v>
      </c>
      <c r="BN10" s="276">
        <v>0</v>
      </c>
      <c r="BO10" s="276">
        <v>0</v>
      </c>
      <c r="BP10" s="276">
        <v>0</v>
      </c>
    </row>
    <row r="11" spans="1:68" x14ac:dyDescent="0.35">
      <c r="A11" s="277" t="s">
        <v>563</v>
      </c>
      <c r="B11" s="277" t="s">
        <v>562</v>
      </c>
      <c r="C11" s="283" t="s">
        <v>516</v>
      </c>
      <c r="D11" s="277" t="s">
        <v>560</v>
      </c>
      <c r="F11" s="277" t="s">
        <v>514</v>
      </c>
      <c r="K11" s="277" t="s">
        <v>819</v>
      </c>
      <c r="L11" s="277" t="s">
        <v>557</v>
      </c>
      <c r="N11" s="277" t="s">
        <v>820</v>
      </c>
      <c r="O11" s="277" t="s">
        <v>819</v>
      </c>
      <c r="P11" s="277" t="s">
        <v>557</v>
      </c>
      <c r="Q11" s="277" t="s">
        <v>556</v>
      </c>
      <c r="R11" s="277" t="s">
        <v>819</v>
      </c>
      <c r="S11" s="276">
        <v>0</v>
      </c>
      <c r="T11" s="276">
        <v>0</v>
      </c>
      <c r="U11" s="276">
        <v>0</v>
      </c>
      <c r="V11" s="276">
        <v>0</v>
      </c>
      <c r="W11" s="276">
        <v>0</v>
      </c>
      <c r="X11" s="276">
        <v>0</v>
      </c>
      <c r="Y11" s="276">
        <v>0</v>
      </c>
      <c r="Z11" s="276">
        <v>0</v>
      </c>
      <c r="AA11" s="276">
        <v>0</v>
      </c>
      <c r="AB11" s="276">
        <v>0</v>
      </c>
      <c r="AC11" s="276"/>
      <c r="AD11" s="276">
        <v>0</v>
      </c>
      <c r="AE11" s="276"/>
      <c r="AF11" s="276">
        <v>0</v>
      </c>
      <c r="AG11" s="276">
        <v>0</v>
      </c>
      <c r="AH11" s="283" t="s">
        <v>86</v>
      </c>
      <c r="AI11" s="282" t="s">
        <v>513</v>
      </c>
      <c r="AJ11" s="281" t="s">
        <v>553</v>
      </c>
      <c r="AK11" s="280" t="s">
        <v>552</v>
      </c>
      <c r="AL11" s="276">
        <v>1.51</v>
      </c>
      <c r="AM11" s="279">
        <v>0</v>
      </c>
      <c r="AN11" s="276">
        <v>0</v>
      </c>
      <c r="AO11" s="276">
        <v>1.51</v>
      </c>
      <c r="AP11" s="279">
        <v>0</v>
      </c>
      <c r="AQ11" s="276">
        <v>0</v>
      </c>
      <c r="AR11" s="276">
        <v>0</v>
      </c>
      <c r="AS11" s="271">
        <v>2</v>
      </c>
      <c r="AT11" s="276">
        <v>0</v>
      </c>
      <c r="AU11" s="279">
        <v>0</v>
      </c>
      <c r="AV11" s="276">
        <v>0</v>
      </c>
      <c r="AW11" s="276">
        <v>0</v>
      </c>
      <c r="AX11" s="279">
        <v>0</v>
      </c>
      <c r="AY11" s="276">
        <v>0</v>
      </c>
      <c r="AZ11" s="276">
        <v>0</v>
      </c>
      <c r="BA11" s="278" t="s">
        <v>551</v>
      </c>
      <c r="BB11" s="276">
        <v>0</v>
      </c>
      <c r="BC11" s="279">
        <v>0</v>
      </c>
      <c r="BD11" s="276">
        <v>0</v>
      </c>
      <c r="BE11" s="276">
        <v>0</v>
      </c>
      <c r="BF11" s="279">
        <v>0</v>
      </c>
      <c r="BG11" s="276">
        <v>0</v>
      </c>
      <c r="BH11" s="276">
        <v>0</v>
      </c>
      <c r="BI11" s="278" t="s">
        <v>550</v>
      </c>
      <c r="BJ11" s="276">
        <v>0</v>
      </c>
      <c r="BK11" s="276">
        <v>0</v>
      </c>
      <c r="BL11" s="276">
        <v>0</v>
      </c>
      <c r="BM11" s="276">
        <v>0</v>
      </c>
      <c r="BN11" s="276">
        <v>0</v>
      </c>
      <c r="BO11" s="276">
        <v>0</v>
      </c>
      <c r="BP11" s="276">
        <v>0</v>
      </c>
    </row>
    <row r="12" spans="1:68" x14ac:dyDescent="0.35">
      <c r="A12" s="277" t="s">
        <v>563</v>
      </c>
      <c r="B12" s="277" t="s">
        <v>562</v>
      </c>
      <c r="C12" s="283" t="s">
        <v>311</v>
      </c>
      <c r="D12" s="277" t="s">
        <v>560</v>
      </c>
      <c r="F12" s="277" t="s">
        <v>514</v>
      </c>
      <c r="K12" s="277" t="s">
        <v>819</v>
      </c>
      <c r="L12" s="277" t="s">
        <v>557</v>
      </c>
      <c r="N12" s="277" t="s">
        <v>820</v>
      </c>
      <c r="O12" s="277" t="s">
        <v>819</v>
      </c>
      <c r="P12" s="277" t="s">
        <v>557</v>
      </c>
      <c r="Q12" s="277" t="s">
        <v>556</v>
      </c>
      <c r="R12" s="277" t="s">
        <v>819</v>
      </c>
      <c r="S12" s="276">
        <v>0</v>
      </c>
      <c r="T12" s="276">
        <v>0</v>
      </c>
      <c r="U12" s="276">
        <v>0</v>
      </c>
      <c r="V12" s="276">
        <v>0</v>
      </c>
      <c r="W12" s="276">
        <v>0</v>
      </c>
      <c r="X12" s="276">
        <v>0</v>
      </c>
      <c r="Y12" s="276">
        <v>0</v>
      </c>
      <c r="Z12" s="276">
        <v>0</v>
      </c>
      <c r="AA12" s="276">
        <v>0</v>
      </c>
      <c r="AB12" s="276">
        <v>0</v>
      </c>
      <c r="AC12" s="276"/>
      <c r="AD12" s="276">
        <v>0</v>
      </c>
      <c r="AE12" s="276"/>
      <c r="AF12" s="276">
        <v>0</v>
      </c>
      <c r="AG12" s="276">
        <v>0</v>
      </c>
      <c r="AH12" s="283" t="s">
        <v>86</v>
      </c>
      <c r="AI12" s="282" t="s">
        <v>313</v>
      </c>
      <c r="AJ12" s="281" t="s">
        <v>553</v>
      </c>
      <c r="AK12" s="280" t="s">
        <v>552</v>
      </c>
      <c r="AL12" s="276">
        <v>1.51</v>
      </c>
      <c r="AM12" s="279">
        <v>0</v>
      </c>
      <c r="AN12" s="276">
        <v>0</v>
      </c>
      <c r="AO12" s="276">
        <v>1.51</v>
      </c>
      <c r="AP12" s="279">
        <v>0</v>
      </c>
      <c r="AQ12" s="276">
        <v>0</v>
      </c>
      <c r="AR12" s="276">
        <v>0</v>
      </c>
      <c r="AS12" s="271">
        <v>2</v>
      </c>
      <c r="AT12" s="276">
        <v>0</v>
      </c>
      <c r="AU12" s="279">
        <v>0</v>
      </c>
      <c r="AV12" s="276">
        <v>0</v>
      </c>
      <c r="AW12" s="276">
        <v>0</v>
      </c>
      <c r="AX12" s="279">
        <v>0</v>
      </c>
      <c r="AY12" s="276">
        <v>0</v>
      </c>
      <c r="AZ12" s="276">
        <v>0</v>
      </c>
      <c r="BA12" s="278" t="s">
        <v>551</v>
      </c>
      <c r="BB12" s="276">
        <v>0</v>
      </c>
      <c r="BC12" s="279">
        <v>0</v>
      </c>
      <c r="BD12" s="276">
        <v>0</v>
      </c>
      <c r="BE12" s="276">
        <v>0</v>
      </c>
      <c r="BF12" s="279">
        <v>0</v>
      </c>
      <c r="BG12" s="276">
        <v>0</v>
      </c>
      <c r="BH12" s="276">
        <v>0</v>
      </c>
      <c r="BI12" s="278" t="s">
        <v>550</v>
      </c>
      <c r="BJ12" s="276">
        <v>0</v>
      </c>
      <c r="BK12" s="276">
        <v>0</v>
      </c>
      <c r="BL12" s="276">
        <v>0</v>
      </c>
      <c r="BM12" s="276">
        <v>0</v>
      </c>
      <c r="BN12" s="276">
        <v>0</v>
      </c>
      <c r="BO12" s="276">
        <v>0</v>
      </c>
      <c r="BP12" s="276">
        <v>0</v>
      </c>
    </row>
    <row r="13" spans="1:68" x14ac:dyDescent="0.35">
      <c r="A13" s="277" t="s">
        <v>563</v>
      </c>
      <c r="B13" s="277" t="s">
        <v>562</v>
      </c>
      <c r="C13" s="283" t="s">
        <v>515</v>
      </c>
      <c r="D13" s="277" t="s">
        <v>560</v>
      </c>
      <c r="F13" s="277" t="s">
        <v>514</v>
      </c>
      <c r="K13" s="277" t="s">
        <v>819</v>
      </c>
      <c r="L13" s="277" t="s">
        <v>557</v>
      </c>
      <c r="N13" s="277" t="s">
        <v>820</v>
      </c>
      <c r="O13" s="277" t="s">
        <v>819</v>
      </c>
      <c r="P13" s="277" t="s">
        <v>557</v>
      </c>
      <c r="Q13" s="277" t="s">
        <v>556</v>
      </c>
      <c r="R13" s="277" t="s">
        <v>819</v>
      </c>
      <c r="S13" s="276">
        <v>0</v>
      </c>
      <c r="T13" s="276">
        <v>0</v>
      </c>
      <c r="U13" s="276">
        <v>0</v>
      </c>
      <c r="V13" s="276">
        <v>0</v>
      </c>
      <c r="W13" s="276">
        <v>0</v>
      </c>
      <c r="X13" s="276">
        <v>0</v>
      </c>
      <c r="Y13" s="276">
        <v>0</v>
      </c>
      <c r="Z13" s="276">
        <v>0</v>
      </c>
      <c r="AA13" s="276">
        <v>0</v>
      </c>
      <c r="AB13" s="276">
        <v>0</v>
      </c>
      <c r="AC13" s="276"/>
      <c r="AD13" s="276">
        <v>0</v>
      </c>
      <c r="AE13" s="276"/>
      <c r="AF13" s="276">
        <v>0</v>
      </c>
      <c r="AG13" s="276">
        <v>0</v>
      </c>
      <c r="AH13" s="283" t="s">
        <v>86</v>
      </c>
      <c r="AI13" s="282" t="s">
        <v>512</v>
      </c>
      <c r="AJ13" s="281" t="s">
        <v>553</v>
      </c>
      <c r="AK13" s="280" t="s">
        <v>552</v>
      </c>
      <c r="AL13" s="276">
        <v>1.51</v>
      </c>
      <c r="AM13" s="279">
        <v>0</v>
      </c>
      <c r="AN13" s="276">
        <v>0</v>
      </c>
      <c r="AO13" s="276">
        <v>1.51</v>
      </c>
      <c r="AP13" s="279">
        <v>0</v>
      </c>
      <c r="AQ13" s="276">
        <v>0</v>
      </c>
      <c r="AR13" s="276">
        <v>0</v>
      </c>
      <c r="AS13" s="271">
        <v>2</v>
      </c>
      <c r="AT13" s="276">
        <v>0</v>
      </c>
      <c r="AU13" s="279">
        <v>0</v>
      </c>
      <c r="AV13" s="276">
        <v>0</v>
      </c>
      <c r="AW13" s="276">
        <v>0</v>
      </c>
      <c r="AX13" s="279">
        <v>0</v>
      </c>
      <c r="AY13" s="276">
        <v>0</v>
      </c>
      <c r="AZ13" s="276">
        <v>0</v>
      </c>
      <c r="BA13" s="278" t="s">
        <v>551</v>
      </c>
      <c r="BB13" s="276">
        <v>0</v>
      </c>
      <c r="BC13" s="279">
        <v>0</v>
      </c>
      <c r="BD13" s="276">
        <v>0</v>
      </c>
      <c r="BE13" s="276">
        <v>0</v>
      </c>
      <c r="BF13" s="279">
        <v>0</v>
      </c>
      <c r="BG13" s="276">
        <v>0</v>
      </c>
      <c r="BH13" s="276">
        <v>0</v>
      </c>
      <c r="BI13" s="278" t="s">
        <v>550</v>
      </c>
      <c r="BJ13" s="276">
        <v>0</v>
      </c>
      <c r="BK13" s="276">
        <v>0</v>
      </c>
      <c r="BL13" s="276">
        <v>0</v>
      </c>
      <c r="BM13" s="276">
        <v>0</v>
      </c>
      <c r="BN13" s="276">
        <v>0</v>
      </c>
      <c r="BO13" s="276">
        <v>0</v>
      </c>
      <c r="BP13" s="276">
        <v>0</v>
      </c>
    </row>
    <row r="14" spans="1:68" x14ac:dyDescent="0.35">
      <c r="A14" s="277" t="s">
        <v>563</v>
      </c>
      <c r="B14" s="277" t="s">
        <v>562</v>
      </c>
      <c r="C14" s="283" t="s">
        <v>513</v>
      </c>
      <c r="D14" s="277" t="s">
        <v>560</v>
      </c>
      <c r="F14" s="277" t="s">
        <v>510</v>
      </c>
      <c r="K14" s="277" t="s">
        <v>819</v>
      </c>
      <c r="L14" s="277" t="s">
        <v>557</v>
      </c>
      <c r="N14" s="277" t="s">
        <v>820</v>
      </c>
      <c r="O14" s="277" t="s">
        <v>819</v>
      </c>
      <c r="P14" s="277" t="s">
        <v>557</v>
      </c>
      <c r="Q14" s="277" t="s">
        <v>556</v>
      </c>
      <c r="R14" s="277" t="s">
        <v>819</v>
      </c>
      <c r="S14" s="276">
        <v>0</v>
      </c>
      <c r="T14" s="276">
        <v>0</v>
      </c>
      <c r="U14" s="276">
        <v>0</v>
      </c>
      <c r="V14" s="276">
        <v>0</v>
      </c>
      <c r="W14" s="276">
        <v>0</v>
      </c>
      <c r="X14" s="276">
        <v>0</v>
      </c>
      <c r="Y14" s="276">
        <v>0</v>
      </c>
      <c r="Z14" s="276">
        <v>0</v>
      </c>
      <c r="AA14" s="276">
        <v>0</v>
      </c>
      <c r="AB14" s="276">
        <v>0</v>
      </c>
      <c r="AC14" s="276"/>
      <c r="AD14" s="276">
        <v>0</v>
      </c>
      <c r="AE14" s="276"/>
      <c r="AF14" s="276">
        <v>0</v>
      </c>
      <c r="AG14" s="276">
        <v>0</v>
      </c>
      <c r="AH14" s="283" t="s">
        <v>483</v>
      </c>
      <c r="AJ14" s="281" t="s">
        <v>553</v>
      </c>
      <c r="AK14" s="280" t="s">
        <v>552</v>
      </c>
      <c r="AL14" s="276">
        <v>1.39</v>
      </c>
      <c r="AM14" s="279">
        <v>0</v>
      </c>
      <c r="AN14" s="276">
        <v>0</v>
      </c>
      <c r="AO14" s="276">
        <v>1.39</v>
      </c>
      <c r="AP14" s="279">
        <v>0</v>
      </c>
      <c r="AQ14" s="276">
        <v>0</v>
      </c>
      <c r="AR14" s="276">
        <v>0</v>
      </c>
      <c r="AS14" s="271">
        <v>2</v>
      </c>
      <c r="AT14" s="276">
        <v>0</v>
      </c>
      <c r="AU14" s="279">
        <v>0</v>
      </c>
      <c r="AV14" s="276">
        <v>0</v>
      </c>
      <c r="AW14" s="276">
        <v>0</v>
      </c>
      <c r="AX14" s="279">
        <v>0</v>
      </c>
      <c r="AY14" s="276">
        <v>0</v>
      </c>
      <c r="AZ14" s="276">
        <v>0</v>
      </c>
      <c r="BA14" s="278" t="s">
        <v>551</v>
      </c>
      <c r="BB14" s="276">
        <v>0</v>
      </c>
      <c r="BC14" s="279">
        <v>0</v>
      </c>
      <c r="BD14" s="276">
        <v>0</v>
      </c>
      <c r="BE14" s="276">
        <v>0</v>
      </c>
      <c r="BF14" s="279">
        <v>0</v>
      </c>
      <c r="BG14" s="276">
        <v>0</v>
      </c>
      <c r="BH14" s="276">
        <v>0</v>
      </c>
      <c r="BI14" s="278" t="s">
        <v>550</v>
      </c>
      <c r="BJ14" s="276">
        <v>0</v>
      </c>
      <c r="BK14" s="276">
        <v>0</v>
      </c>
      <c r="BL14" s="276">
        <v>0</v>
      </c>
      <c r="BM14" s="276">
        <v>0</v>
      </c>
      <c r="BN14" s="276">
        <v>0</v>
      </c>
      <c r="BO14" s="276">
        <v>0</v>
      </c>
      <c r="BP14" s="276">
        <v>0</v>
      </c>
    </row>
    <row r="15" spans="1:68" x14ac:dyDescent="0.35">
      <c r="A15" s="277" t="s">
        <v>563</v>
      </c>
      <c r="B15" s="277" t="s">
        <v>562</v>
      </c>
      <c r="C15" s="283" t="s">
        <v>313</v>
      </c>
      <c r="D15" s="277" t="s">
        <v>560</v>
      </c>
      <c r="F15" s="277" t="s">
        <v>510</v>
      </c>
      <c r="K15" s="277" t="s">
        <v>819</v>
      </c>
      <c r="L15" s="277" t="s">
        <v>557</v>
      </c>
      <c r="N15" s="277" t="s">
        <v>820</v>
      </c>
      <c r="O15" s="277" t="s">
        <v>819</v>
      </c>
      <c r="P15" s="277" t="s">
        <v>557</v>
      </c>
      <c r="Q15" s="277" t="s">
        <v>556</v>
      </c>
      <c r="R15" s="277" t="s">
        <v>819</v>
      </c>
      <c r="S15" s="276">
        <v>0</v>
      </c>
      <c r="T15" s="276">
        <v>0</v>
      </c>
      <c r="U15" s="276">
        <v>0</v>
      </c>
      <c r="V15" s="276">
        <v>0</v>
      </c>
      <c r="W15" s="276">
        <v>0</v>
      </c>
      <c r="X15" s="276">
        <v>0</v>
      </c>
      <c r="Y15" s="276">
        <v>0</v>
      </c>
      <c r="Z15" s="276">
        <v>0</v>
      </c>
      <c r="AA15" s="276">
        <v>0</v>
      </c>
      <c r="AB15" s="276">
        <v>0</v>
      </c>
      <c r="AC15" s="276"/>
      <c r="AD15" s="276">
        <v>0</v>
      </c>
      <c r="AE15" s="276"/>
      <c r="AF15" s="276">
        <v>0</v>
      </c>
      <c r="AG15" s="276">
        <v>0</v>
      </c>
      <c r="AH15" s="283" t="s">
        <v>483</v>
      </c>
      <c r="AJ15" s="281" t="s">
        <v>553</v>
      </c>
      <c r="AK15" s="280" t="s">
        <v>552</v>
      </c>
      <c r="AL15" s="276">
        <v>1.39</v>
      </c>
      <c r="AM15" s="279">
        <v>0</v>
      </c>
      <c r="AN15" s="276">
        <v>0</v>
      </c>
      <c r="AO15" s="276">
        <v>1.39</v>
      </c>
      <c r="AP15" s="279">
        <v>0</v>
      </c>
      <c r="AQ15" s="276">
        <v>0</v>
      </c>
      <c r="AR15" s="276">
        <v>0</v>
      </c>
      <c r="AS15" s="271">
        <v>2</v>
      </c>
      <c r="AT15" s="276">
        <v>0</v>
      </c>
      <c r="AU15" s="279">
        <v>0</v>
      </c>
      <c r="AV15" s="276">
        <v>0</v>
      </c>
      <c r="AW15" s="276">
        <v>0</v>
      </c>
      <c r="AX15" s="279">
        <v>0</v>
      </c>
      <c r="AY15" s="276">
        <v>0</v>
      </c>
      <c r="AZ15" s="276">
        <v>0</v>
      </c>
      <c r="BA15" s="278" t="s">
        <v>551</v>
      </c>
      <c r="BB15" s="276">
        <v>0</v>
      </c>
      <c r="BC15" s="279">
        <v>0</v>
      </c>
      <c r="BD15" s="276">
        <v>0</v>
      </c>
      <c r="BE15" s="276">
        <v>0</v>
      </c>
      <c r="BF15" s="279">
        <v>0</v>
      </c>
      <c r="BG15" s="276">
        <v>0</v>
      </c>
      <c r="BH15" s="276">
        <v>0</v>
      </c>
      <c r="BI15" s="278" t="s">
        <v>550</v>
      </c>
      <c r="BJ15" s="276">
        <v>0</v>
      </c>
      <c r="BK15" s="276">
        <v>0</v>
      </c>
      <c r="BL15" s="276">
        <v>0</v>
      </c>
      <c r="BM15" s="276">
        <v>0</v>
      </c>
      <c r="BN15" s="276">
        <v>0</v>
      </c>
      <c r="BO15" s="276">
        <v>0</v>
      </c>
      <c r="BP15" s="276">
        <v>0</v>
      </c>
    </row>
    <row r="16" spans="1:68" x14ac:dyDescent="0.35">
      <c r="A16" s="277" t="s">
        <v>563</v>
      </c>
      <c r="B16" s="277" t="s">
        <v>562</v>
      </c>
      <c r="C16" s="283" t="s">
        <v>512</v>
      </c>
      <c r="D16" s="277" t="s">
        <v>560</v>
      </c>
      <c r="F16" s="277" t="s">
        <v>510</v>
      </c>
      <c r="K16" s="277" t="s">
        <v>819</v>
      </c>
      <c r="L16" s="277" t="s">
        <v>557</v>
      </c>
      <c r="N16" s="277" t="s">
        <v>820</v>
      </c>
      <c r="O16" s="277" t="s">
        <v>819</v>
      </c>
      <c r="P16" s="277" t="s">
        <v>557</v>
      </c>
      <c r="Q16" s="277" t="s">
        <v>556</v>
      </c>
      <c r="R16" s="277" t="s">
        <v>819</v>
      </c>
      <c r="S16" s="276">
        <v>0</v>
      </c>
      <c r="T16" s="276">
        <v>0</v>
      </c>
      <c r="U16" s="276">
        <v>0</v>
      </c>
      <c r="V16" s="276">
        <v>0</v>
      </c>
      <c r="W16" s="276">
        <v>0</v>
      </c>
      <c r="X16" s="276">
        <v>0</v>
      </c>
      <c r="Y16" s="276">
        <v>0</v>
      </c>
      <c r="Z16" s="276">
        <v>0</v>
      </c>
      <c r="AA16" s="276">
        <v>0</v>
      </c>
      <c r="AB16" s="276">
        <v>0</v>
      </c>
      <c r="AC16" s="276"/>
      <c r="AD16" s="276">
        <v>0</v>
      </c>
      <c r="AE16" s="276"/>
      <c r="AF16" s="276">
        <v>0</v>
      </c>
      <c r="AG16" s="276">
        <v>0</v>
      </c>
      <c r="AH16" s="283" t="s">
        <v>483</v>
      </c>
      <c r="AJ16" s="281" t="s">
        <v>553</v>
      </c>
      <c r="AK16" s="280" t="s">
        <v>552</v>
      </c>
      <c r="AL16" s="276">
        <v>1.39</v>
      </c>
      <c r="AM16" s="279">
        <v>0</v>
      </c>
      <c r="AN16" s="276">
        <v>0</v>
      </c>
      <c r="AO16" s="276">
        <v>1.39</v>
      </c>
      <c r="AP16" s="279">
        <v>0</v>
      </c>
      <c r="AQ16" s="276">
        <v>0</v>
      </c>
      <c r="AR16" s="276">
        <v>0</v>
      </c>
      <c r="AS16" s="271">
        <v>2</v>
      </c>
      <c r="AT16" s="276">
        <v>0</v>
      </c>
      <c r="AU16" s="279">
        <v>0</v>
      </c>
      <c r="AV16" s="276">
        <v>0</v>
      </c>
      <c r="AW16" s="276">
        <v>0</v>
      </c>
      <c r="AX16" s="279">
        <v>0</v>
      </c>
      <c r="AY16" s="276">
        <v>0</v>
      </c>
      <c r="AZ16" s="276">
        <v>0</v>
      </c>
      <c r="BA16" s="278" t="s">
        <v>551</v>
      </c>
      <c r="BB16" s="276">
        <v>0</v>
      </c>
      <c r="BC16" s="279">
        <v>0</v>
      </c>
      <c r="BD16" s="276">
        <v>0</v>
      </c>
      <c r="BE16" s="276">
        <v>0</v>
      </c>
      <c r="BF16" s="279">
        <v>0</v>
      </c>
      <c r="BG16" s="276">
        <v>0</v>
      </c>
      <c r="BH16" s="276">
        <v>0</v>
      </c>
      <c r="BI16" s="278" t="s">
        <v>550</v>
      </c>
      <c r="BJ16" s="276">
        <v>0</v>
      </c>
      <c r="BK16" s="276">
        <v>0</v>
      </c>
      <c r="BL16" s="276">
        <v>0</v>
      </c>
      <c r="BM16" s="276">
        <v>0</v>
      </c>
      <c r="BN16" s="276">
        <v>0</v>
      </c>
      <c r="BO16" s="276">
        <v>0</v>
      </c>
      <c r="BP16" s="276">
        <v>0</v>
      </c>
    </row>
    <row r="17" spans="1:68" x14ac:dyDescent="0.35">
      <c r="A17" s="277" t="s">
        <v>563</v>
      </c>
      <c r="B17" s="277" t="s">
        <v>562</v>
      </c>
      <c r="C17" s="283" t="s">
        <v>511</v>
      </c>
      <c r="D17" s="277" t="s">
        <v>560</v>
      </c>
      <c r="F17" s="277" t="s">
        <v>510</v>
      </c>
      <c r="K17" s="277" t="s">
        <v>819</v>
      </c>
      <c r="L17" s="277" t="s">
        <v>557</v>
      </c>
      <c r="N17" s="277" t="s">
        <v>820</v>
      </c>
      <c r="O17" s="277" t="s">
        <v>819</v>
      </c>
      <c r="P17" s="277" t="s">
        <v>557</v>
      </c>
      <c r="Q17" s="277" t="s">
        <v>556</v>
      </c>
      <c r="R17" s="277" t="s">
        <v>819</v>
      </c>
      <c r="S17" s="276">
        <v>0</v>
      </c>
      <c r="T17" s="276">
        <v>0</v>
      </c>
      <c r="U17" s="276">
        <v>0</v>
      </c>
      <c r="V17" s="276">
        <v>0</v>
      </c>
      <c r="W17" s="276">
        <v>0</v>
      </c>
      <c r="X17" s="276">
        <v>0</v>
      </c>
      <c r="Y17" s="276">
        <v>0</v>
      </c>
      <c r="Z17" s="276">
        <v>0</v>
      </c>
      <c r="AA17" s="276">
        <v>0</v>
      </c>
      <c r="AB17" s="276">
        <v>0</v>
      </c>
      <c r="AC17" s="276"/>
      <c r="AD17" s="276">
        <v>0</v>
      </c>
      <c r="AE17" s="276"/>
      <c r="AF17" s="276">
        <v>0</v>
      </c>
      <c r="AG17" s="276">
        <v>0</v>
      </c>
      <c r="AH17" s="283" t="s">
        <v>483</v>
      </c>
      <c r="AJ17" s="281" t="s">
        <v>553</v>
      </c>
      <c r="AK17" s="280" t="s">
        <v>552</v>
      </c>
      <c r="AL17" s="276">
        <v>1.39</v>
      </c>
      <c r="AM17" s="279">
        <v>0</v>
      </c>
      <c r="AN17" s="276">
        <v>0</v>
      </c>
      <c r="AO17" s="276">
        <v>1.39</v>
      </c>
      <c r="AP17" s="279">
        <v>0</v>
      </c>
      <c r="AQ17" s="276">
        <v>0</v>
      </c>
      <c r="AR17" s="276">
        <v>0</v>
      </c>
      <c r="AS17" s="271">
        <v>2</v>
      </c>
      <c r="AT17" s="276">
        <v>0</v>
      </c>
      <c r="AU17" s="279">
        <v>0</v>
      </c>
      <c r="AV17" s="276">
        <v>0</v>
      </c>
      <c r="AW17" s="276">
        <v>0</v>
      </c>
      <c r="AX17" s="279">
        <v>0</v>
      </c>
      <c r="AY17" s="276">
        <v>0</v>
      </c>
      <c r="AZ17" s="276">
        <v>0</v>
      </c>
      <c r="BA17" s="278" t="s">
        <v>551</v>
      </c>
      <c r="BB17" s="276">
        <v>0</v>
      </c>
      <c r="BC17" s="279">
        <v>0</v>
      </c>
      <c r="BD17" s="276">
        <v>0</v>
      </c>
      <c r="BE17" s="276">
        <v>0</v>
      </c>
      <c r="BF17" s="279">
        <v>0</v>
      </c>
      <c r="BG17" s="276">
        <v>0</v>
      </c>
      <c r="BH17" s="276">
        <v>0</v>
      </c>
      <c r="BI17" s="278" t="s">
        <v>550</v>
      </c>
      <c r="BJ17" s="276">
        <v>0</v>
      </c>
      <c r="BK17" s="276">
        <v>0</v>
      </c>
      <c r="BL17" s="276">
        <v>0</v>
      </c>
      <c r="BM17" s="276">
        <v>0</v>
      </c>
      <c r="BN17" s="276">
        <v>0</v>
      </c>
      <c r="BO17" s="276">
        <v>0</v>
      </c>
      <c r="BP17" s="276">
        <v>0</v>
      </c>
    </row>
    <row r="18" spans="1:68" x14ac:dyDescent="0.35">
      <c r="A18" s="277" t="s">
        <v>563</v>
      </c>
      <c r="B18" s="277" t="s">
        <v>562</v>
      </c>
      <c r="C18" s="283" t="s">
        <v>1057</v>
      </c>
      <c r="D18" s="277" t="s">
        <v>560</v>
      </c>
      <c r="F18" s="277" t="s">
        <v>1056</v>
      </c>
      <c r="K18" s="277" t="s">
        <v>689</v>
      </c>
      <c r="L18" s="277" t="s">
        <v>557</v>
      </c>
      <c r="N18" s="277" t="s">
        <v>690</v>
      </c>
      <c r="O18" s="277" t="s">
        <v>689</v>
      </c>
      <c r="P18" s="277" t="s">
        <v>557</v>
      </c>
      <c r="Q18" s="277" t="s">
        <v>556</v>
      </c>
      <c r="R18" s="277" t="s">
        <v>689</v>
      </c>
      <c r="S18" s="276">
        <v>0</v>
      </c>
      <c r="T18" s="276">
        <v>0</v>
      </c>
      <c r="U18" s="276">
        <v>0</v>
      </c>
      <c r="V18" s="276">
        <v>0</v>
      </c>
      <c r="W18" s="276">
        <v>0</v>
      </c>
      <c r="X18" s="276">
        <v>0</v>
      </c>
      <c r="Y18" s="276">
        <v>0</v>
      </c>
      <c r="Z18" s="276">
        <v>0</v>
      </c>
      <c r="AA18" s="276">
        <v>0</v>
      </c>
      <c r="AB18" s="276">
        <v>0</v>
      </c>
      <c r="AC18" s="276"/>
      <c r="AD18" s="276">
        <v>0</v>
      </c>
      <c r="AE18" s="276"/>
      <c r="AF18" s="276">
        <v>0</v>
      </c>
      <c r="AG18" s="276">
        <v>0</v>
      </c>
      <c r="AH18" s="283" t="s">
        <v>86</v>
      </c>
      <c r="AI18" s="282" t="s">
        <v>1055</v>
      </c>
      <c r="AJ18" s="281" t="s">
        <v>553</v>
      </c>
      <c r="AK18" s="280" t="s">
        <v>552</v>
      </c>
      <c r="AL18" s="276">
        <v>1.1499999999999999</v>
      </c>
      <c r="AM18" s="279">
        <v>0</v>
      </c>
      <c r="AN18" s="276">
        <v>0</v>
      </c>
      <c r="AO18" s="276">
        <v>1.1499999999999999</v>
      </c>
      <c r="AP18" s="279">
        <v>0</v>
      </c>
      <c r="AQ18" s="276">
        <v>0</v>
      </c>
      <c r="AR18" s="276">
        <v>0</v>
      </c>
      <c r="AS18" s="271">
        <v>2</v>
      </c>
      <c r="AT18" s="276">
        <v>0</v>
      </c>
      <c r="AU18" s="279">
        <v>0</v>
      </c>
      <c r="AV18" s="276">
        <v>0</v>
      </c>
      <c r="AW18" s="276">
        <v>0</v>
      </c>
      <c r="AX18" s="279">
        <v>0</v>
      </c>
      <c r="AY18" s="276">
        <v>0</v>
      </c>
      <c r="AZ18" s="276">
        <v>0</v>
      </c>
      <c r="BA18" s="278" t="s">
        <v>551</v>
      </c>
      <c r="BB18" s="276">
        <v>0</v>
      </c>
      <c r="BC18" s="279">
        <v>0</v>
      </c>
      <c r="BD18" s="276">
        <v>0</v>
      </c>
      <c r="BE18" s="276">
        <v>0</v>
      </c>
      <c r="BF18" s="279">
        <v>0</v>
      </c>
      <c r="BG18" s="276">
        <v>0</v>
      </c>
      <c r="BH18" s="276">
        <v>0</v>
      </c>
      <c r="BI18" s="278" t="s">
        <v>550</v>
      </c>
      <c r="BJ18" s="276">
        <v>0</v>
      </c>
      <c r="BK18" s="276">
        <v>0</v>
      </c>
      <c r="BL18" s="276">
        <v>0</v>
      </c>
      <c r="BM18" s="276">
        <v>0</v>
      </c>
      <c r="BN18" s="276">
        <v>0</v>
      </c>
      <c r="BO18" s="276">
        <v>0</v>
      </c>
      <c r="BP18" s="276">
        <v>0</v>
      </c>
    </row>
    <row r="19" spans="1:68" x14ac:dyDescent="0.35">
      <c r="A19" s="277" t="s">
        <v>563</v>
      </c>
      <c r="B19" s="277" t="s">
        <v>562</v>
      </c>
      <c r="C19" s="283" t="s">
        <v>441</v>
      </c>
      <c r="D19" s="277" t="s">
        <v>560</v>
      </c>
      <c r="F19" s="277" t="s">
        <v>1054</v>
      </c>
      <c r="K19" s="277" t="s">
        <v>819</v>
      </c>
      <c r="L19" s="277" t="s">
        <v>557</v>
      </c>
      <c r="N19" s="277" t="s">
        <v>820</v>
      </c>
      <c r="O19" s="277" t="s">
        <v>819</v>
      </c>
      <c r="P19" s="277" t="s">
        <v>557</v>
      </c>
      <c r="Q19" s="277" t="s">
        <v>556</v>
      </c>
      <c r="R19" s="277" t="s">
        <v>819</v>
      </c>
      <c r="S19" s="276">
        <v>0</v>
      </c>
      <c r="T19" s="276">
        <v>0</v>
      </c>
      <c r="U19" s="276">
        <v>0</v>
      </c>
      <c r="V19" s="276">
        <v>0</v>
      </c>
      <c r="W19" s="276">
        <v>0</v>
      </c>
      <c r="X19" s="276">
        <v>0</v>
      </c>
      <c r="Y19" s="276">
        <v>0</v>
      </c>
      <c r="Z19" s="276">
        <v>0</v>
      </c>
      <c r="AA19" s="276">
        <v>0</v>
      </c>
      <c r="AB19" s="276">
        <v>0</v>
      </c>
      <c r="AC19" s="276"/>
      <c r="AD19" s="276">
        <v>0</v>
      </c>
      <c r="AE19" s="276"/>
      <c r="AF19" s="276">
        <v>0</v>
      </c>
      <c r="AG19" s="276">
        <v>0</v>
      </c>
      <c r="AH19" s="283" t="s">
        <v>86</v>
      </c>
      <c r="AI19" s="282" t="s">
        <v>509</v>
      </c>
      <c r="AJ19" s="281" t="s">
        <v>553</v>
      </c>
      <c r="AK19" s="280" t="s">
        <v>552</v>
      </c>
      <c r="AL19" s="276">
        <v>1.1000000000000001</v>
      </c>
      <c r="AM19" s="279">
        <v>0</v>
      </c>
      <c r="AN19" s="276">
        <v>0</v>
      </c>
      <c r="AO19" s="276">
        <v>1.1000000000000001</v>
      </c>
      <c r="AP19" s="279">
        <v>0</v>
      </c>
      <c r="AQ19" s="276">
        <v>0</v>
      </c>
      <c r="AR19" s="276">
        <v>0</v>
      </c>
      <c r="AS19" s="271">
        <v>2</v>
      </c>
      <c r="AT19" s="276">
        <v>0</v>
      </c>
      <c r="AU19" s="279">
        <v>0</v>
      </c>
      <c r="AV19" s="276">
        <v>0</v>
      </c>
      <c r="AW19" s="276">
        <v>0</v>
      </c>
      <c r="AX19" s="279">
        <v>0</v>
      </c>
      <c r="AY19" s="276">
        <v>0</v>
      </c>
      <c r="AZ19" s="276">
        <v>0</v>
      </c>
      <c r="BA19" s="278" t="s">
        <v>551</v>
      </c>
      <c r="BB19" s="276">
        <v>0</v>
      </c>
      <c r="BC19" s="279">
        <v>0</v>
      </c>
      <c r="BD19" s="276">
        <v>0</v>
      </c>
      <c r="BE19" s="276">
        <v>0</v>
      </c>
      <c r="BF19" s="279">
        <v>0</v>
      </c>
      <c r="BG19" s="276">
        <v>0</v>
      </c>
      <c r="BH19" s="276">
        <v>0</v>
      </c>
      <c r="BI19" s="278" t="s">
        <v>550</v>
      </c>
      <c r="BJ19" s="276">
        <v>0</v>
      </c>
      <c r="BK19" s="276">
        <v>0</v>
      </c>
      <c r="BL19" s="276">
        <v>0</v>
      </c>
      <c r="BM19" s="276">
        <v>0</v>
      </c>
      <c r="BN19" s="276">
        <v>0</v>
      </c>
      <c r="BO19" s="276">
        <v>0</v>
      </c>
      <c r="BP19" s="276">
        <v>0</v>
      </c>
    </row>
    <row r="20" spans="1:68" x14ac:dyDescent="0.35">
      <c r="A20" s="277" t="s">
        <v>563</v>
      </c>
      <c r="B20" s="277" t="s">
        <v>562</v>
      </c>
      <c r="C20" s="283" t="s">
        <v>443</v>
      </c>
      <c r="D20" s="277" t="s">
        <v>560</v>
      </c>
      <c r="F20" s="277" t="s">
        <v>1053</v>
      </c>
      <c r="K20" s="277" t="s">
        <v>819</v>
      </c>
      <c r="L20" s="277" t="s">
        <v>557</v>
      </c>
      <c r="N20" s="277" t="s">
        <v>820</v>
      </c>
      <c r="O20" s="277" t="s">
        <v>819</v>
      </c>
      <c r="P20" s="277" t="s">
        <v>557</v>
      </c>
      <c r="Q20" s="277" t="s">
        <v>556</v>
      </c>
      <c r="R20" s="277" t="s">
        <v>819</v>
      </c>
      <c r="S20" s="276">
        <v>0</v>
      </c>
      <c r="T20" s="276">
        <v>0</v>
      </c>
      <c r="U20" s="276">
        <v>0</v>
      </c>
      <c r="V20" s="276">
        <v>0</v>
      </c>
      <c r="W20" s="276">
        <v>0</v>
      </c>
      <c r="X20" s="276">
        <v>0</v>
      </c>
      <c r="Y20" s="276">
        <v>0</v>
      </c>
      <c r="Z20" s="276">
        <v>0</v>
      </c>
      <c r="AA20" s="276">
        <v>0</v>
      </c>
      <c r="AB20" s="276">
        <v>0</v>
      </c>
      <c r="AC20" s="276"/>
      <c r="AD20" s="276">
        <v>0</v>
      </c>
      <c r="AE20" s="276"/>
      <c r="AF20" s="276">
        <v>0</v>
      </c>
      <c r="AG20" s="276">
        <v>0</v>
      </c>
      <c r="AH20" s="283" t="s">
        <v>86</v>
      </c>
      <c r="AI20" s="282" t="s">
        <v>507</v>
      </c>
      <c r="AJ20" s="281" t="s">
        <v>553</v>
      </c>
      <c r="AK20" s="280" t="s">
        <v>552</v>
      </c>
      <c r="AL20" s="276">
        <v>2.2599999999999998</v>
      </c>
      <c r="AM20" s="279">
        <v>0</v>
      </c>
      <c r="AN20" s="276">
        <v>0</v>
      </c>
      <c r="AO20" s="276">
        <v>2.2599999999999998</v>
      </c>
      <c r="AP20" s="279">
        <v>0</v>
      </c>
      <c r="AQ20" s="276">
        <v>0</v>
      </c>
      <c r="AR20" s="276">
        <v>0</v>
      </c>
      <c r="AS20" s="271">
        <v>2</v>
      </c>
      <c r="AT20" s="276">
        <v>0</v>
      </c>
      <c r="AU20" s="279">
        <v>0</v>
      </c>
      <c r="AV20" s="276">
        <v>0</v>
      </c>
      <c r="AW20" s="276">
        <v>0</v>
      </c>
      <c r="AX20" s="279">
        <v>0</v>
      </c>
      <c r="AY20" s="276">
        <v>0</v>
      </c>
      <c r="AZ20" s="276">
        <v>0</v>
      </c>
      <c r="BA20" s="278" t="s">
        <v>551</v>
      </c>
      <c r="BB20" s="276">
        <v>0</v>
      </c>
      <c r="BC20" s="279">
        <v>0</v>
      </c>
      <c r="BD20" s="276">
        <v>0</v>
      </c>
      <c r="BE20" s="276">
        <v>0</v>
      </c>
      <c r="BF20" s="279">
        <v>0</v>
      </c>
      <c r="BG20" s="276">
        <v>0</v>
      </c>
      <c r="BH20" s="276">
        <v>0</v>
      </c>
      <c r="BI20" s="278" t="s">
        <v>550</v>
      </c>
      <c r="BJ20" s="276">
        <v>0</v>
      </c>
      <c r="BK20" s="276">
        <v>0</v>
      </c>
      <c r="BL20" s="276">
        <v>0</v>
      </c>
      <c r="BM20" s="276">
        <v>0</v>
      </c>
      <c r="BN20" s="276">
        <v>0</v>
      </c>
      <c r="BO20" s="276">
        <v>0</v>
      </c>
      <c r="BP20" s="276">
        <v>0</v>
      </c>
    </row>
    <row r="21" spans="1:68" x14ac:dyDescent="0.35">
      <c r="A21" s="277" t="s">
        <v>563</v>
      </c>
      <c r="B21" s="277" t="s">
        <v>562</v>
      </c>
      <c r="C21" s="283" t="s">
        <v>445</v>
      </c>
      <c r="D21" s="277" t="s">
        <v>560</v>
      </c>
      <c r="F21" s="277" t="s">
        <v>1052</v>
      </c>
      <c r="K21" s="277" t="s">
        <v>819</v>
      </c>
      <c r="L21" s="277" t="s">
        <v>557</v>
      </c>
      <c r="N21" s="277" t="s">
        <v>820</v>
      </c>
      <c r="O21" s="277" t="s">
        <v>819</v>
      </c>
      <c r="P21" s="277" t="s">
        <v>557</v>
      </c>
      <c r="Q21" s="277" t="s">
        <v>556</v>
      </c>
      <c r="R21" s="277" t="s">
        <v>819</v>
      </c>
      <c r="S21" s="276">
        <v>0</v>
      </c>
      <c r="T21" s="276">
        <v>0</v>
      </c>
      <c r="U21" s="276">
        <v>0</v>
      </c>
      <c r="V21" s="276">
        <v>0</v>
      </c>
      <c r="W21" s="276">
        <v>0</v>
      </c>
      <c r="X21" s="276">
        <v>0</v>
      </c>
      <c r="Y21" s="276">
        <v>0</v>
      </c>
      <c r="Z21" s="276">
        <v>0</v>
      </c>
      <c r="AA21" s="276">
        <v>0</v>
      </c>
      <c r="AB21" s="276">
        <v>0</v>
      </c>
      <c r="AC21" s="276"/>
      <c r="AD21" s="276">
        <v>0</v>
      </c>
      <c r="AE21" s="276"/>
      <c r="AF21" s="276">
        <v>0</v>
      </c>
      <c r="AG21" s="276">
        <v>0</v>
      </c>
      <c r="AH21" s="283" t="s">
        <v>86</v>
      </c>
      <c r="AI21" s="282" t="s">
        <v>505</v>
      </c>
      <c r="AJ21" s="281" t="s">
        <v>553</v>
      </c>
      <c r="AK21" s="280" t="s">
        <v>552</v>
      </c>
      <c r="AL21" s="276">
        <v>1.1599999999999999</v>
      </c>
      <c r="AM21" s="279">
        <v>0</v>
      </c>
      <c r="AN21" s="276">
        <v>0</v>
      </c>
      <c r="AO21" s="276">
        <v>1.1599999999999999</v>
      </c>
      <c r="AP21" s="279">
        <v>0</v>
      </c>
      <c r="AQ21" s="276">
        <v>0</v>
      </c>
      <c r="AR21" s="276">
        <v>0</v>
      </c>
      <c r="AS21" s="271">
        <v>2</v>
      </c>
      <c r="AT21" s="276">
        <v>0</v>
      </c>
      <c r="AU21" s="279">
        <v>0</v>
      </c>
      <c r="AV21" s="276">
        <v>0</v>
      </c>
      <c r="AW21" s="276">
        <v>0</v>
      </c>
      <c r="AX21" s="279">
        <v>0</v>
      </c>
      <c r="AY21" s="276">
        <v>0</v>
      </c>
      <c r="AZ21" s="276">
        <v>0</v>
      </c>
      <c r="BA21" s="278" t="s">
        <v>551</v>
      </c>
      <c r="BB21" s="276">
        <v>0</v>
      </c>
      <c r="BC21" s="279">
        <v>0</v>
      </c>
      <c r="BD21" s="276">
        <v>0</v>
      </c>
      <c r="BE21" s="276">
        <v>0</v>
      </c>
      <c r="BF21" s="279">
        <v>0</v>
      </c>
      <c r="BG21" s="276">
        <v>0</v>
      </c>
      <c r="BH21" s="276">
        <v>0</v>
      </c>
      <c r="BI21" s="278" t="s">
        <v>550</v>
      </c>
      <c r="BJ21" s="276">
        <v>0</v>
      </c>
      <c r="BK21" s="276">
        <v>0</v>
      </c>
      <c r="BL21" s="276">
        <v>0</v>
      </c>
      <c r="BM21" s="276">
        <v>0</v>
      </c>
      <c r="BN21" s="276">
        <v>0</v>
      </c>
      <c r="BO21" s="276">
        <v>0</v>
      </c>
      <c r="BP21" s="276">
        <v>0</v>
      </c>
    </row>
    <row r="22" spans="1:68" x14ac:dyDescent="0.35">
      <c r="A22" s="277" t="s">
        <v>563</v>
      </c>
      <c r="B22" s="277" t="s">
        <v>562</v>
      </c>
      <c r="C22" s="283" t="s">
        <v>509</v>
      </c>
      <c r="D22" s="277" t="s">
        <v>560</v>
      </c>
      <c r="F22" s="277" t="s">
        <v>508</v>
      </c>
      <c r="K22" s="277" t="s">
        <v>819</v>
      </c>
      <c r="L22" s="277" t="s">
        <v>557</v>
      </c>
      <c r="N22" s="277" t="s">
        <v>820</v>
      </c>
      <c r="O22" s="277" t="s">
        <v>819</v>
      </c>
      <c r="P22" s="277" t="s">
        <v>557</v>
      </c>
      <c r="Q22" s="277" t="s">
        <v>556</v>
      </c>
      <c r="R22" s="277" t="s">
        <v>819</v>
      </c>
      <c r="S22" s="276">
        <v>0</v>
      </c>
      <c r="T22" s="276">
        <v>0</v>
      </c>
      <c r="U22" s="276">
        <v>0</v>
      </c>
      <c r="V22" s="276">
        <v>0</v>
      </c>
      <c r="W22" s="276">
        <v>0</v>
      </c>
      <c r="X22" s="276">
        <v>0</v>
      </c>
      <c r="Y22" s="276">
        <v>0</v>
      </c>
      <c r="Z22" s="276">
        <v>0</v>
      </c>
      <c r="AA22" s="276">
        <v>0</v>
      </c>
      <c r="AB22" s="276">
        <v>0</v>
      </c>
      <c r="AC22" s="276"/>
      <c r="AD22" s="276">
        <v>0</v>
      </c>
      <c r="AE22" s="276"/>
      <c r="AF22" s="276">
        <v>0</v>
      </c>
      <c r="AG22" s="276">
        <v>0</v>
      </c>
      <c r="AH22" s="283" t="s">
        <v>483</v>
      </c>
      <c r="AJ22" s="281" t="s">
        <v>553</v>
      </c>
      <c r="AK22" s="280" t="s">
        <v>552</v>
      </c>
      <c r="AL22" s="276">
        <v>0.61</v>
      </c>
      <c r="AM22" s="279">
        <v>0</v>
      </c>
      <c r="AN22" s="276">
        <v>0</v>
      </c>
      <c r="AO22" s="276">
        <v>0.61</v>
      </c>
      <c r="AP22" s="279">
        <v>0</v>
      </c>
      <c r="AQ22" s="276">
        <v>0</v>
      </c>
      <c r="AR22" s="276">
        <v>0</v>
      </c>
      <c r="AS22" s="271">
        <v>2</v>
      </c>
      <c r="AT22" s="276">
        <v>0</v>
      </c>
      <c r="AU22" s="279">
        <v>0</v>
      </c>
      <c r="AV22" s="276">
        <v>0</v>
      </c>
      <c r="AW22" s="276">
        <v>0</v>
      </c>
      <c r="AX22" s="279">
        <v>0</v>
      </c>
      <c r="AY22" s="276">
        <v>0</v>
      </c>
      <c r="AZ22" s="276">
        <v>0</v>
      </c>
      <c r="BA22" s="278" t="s">
        <v>551</v>
      </c>
      <c r="BB22" s="276">
        <v>0</v>
      </c>
      <c r="BC22" s="279">
        <v>0</v>
      </c>
      <c r="BD22" s="276">
        <v>0</v>
      </c>
      <c r="BE22" s="276">
        <v>0</v>
      </c>
      <c r="BF22" s="279">
        <v>0</v>
      </c>
      <c r="BG22" s="276">
        <v>0</v>
      </c>
      <c r="BH22" s="276">
        <v>0</v>
      </c>
      <c r="BI22" s="278" t="s">
        <v>550</v>
      </c>
      <c r="BJ22" s="276">
        <v>0</v>
      </c>
      <c r="BK22" s="276">
        <v>0</v>
      </c>
      <c r="BL22" s="276">
        <v>0</v>
      </c>
      <c r="BM22" s="276">
        <v>0</v>
      </c>
      <c r="BN22" s="276">
        <v>0</v>
      </c>
      <c r="BO22" s="276">
        <v>0</v>
      </c>
      <c r="BP22" s="276">
        <v>0</v>
      </c>
    </row>
    <row r="23" spans="1:68" x14ac:dyDescent="0.35">
      <c r="A23" s="277" t="s">
        <v>563</v>
      </c>
      <c r="B23" s="277" t="s">
        <v>562</v>
      </c>
      <c r="C23" s="283" t="s">
        <v>507</v>
      </c>
      <c r="D23" s="277" t="s">
        <v>560</v>
      </c>
      <c r="F23" s="277" t="s">
        <v>506</v>
      </c>
      <c r="K23" s="277" t="s">
        <v>819</v>
      </c>
      <c r="L23" s="277" t="s">
        <v>557</v>
      </c>
      <c r="N23" s="277" t="s">
        <v>820</v>
      </c>
      <c r="O23" s="277" t="s">
        <v>819</v>
      </c>
      <c r="P23" s="277" t="s">
        <v>557</v>
      </c>
      <c r="Q23" s="277" t="s">
        <v>556</v>
      </c>
      <c r="R23" s="277" t="s">
        <v>819</v>
      </c>
      <c r="S23" s="276">
        <v>0</v>
      </c>
      <c r="T23" s="276">
        <v>0</v>
      </c>
      <c r="U23" s="276">
        <v>0</v>
      </c>
      <c r="V23" s="276">
        <v>0</v>
      </c>
      <c r="W23" s="276">
        <v>0</v>
      </c>
      <c r="X23" s="276">
        <v>0</v>
      </c>
      <c r="Y23" s="276">
        <v>0</v>
      </c>
      <c r="Z23" s="276">
        <v>0</v>
      </c>
      <c r="AA23" s="276">
        <v>0</v>
      </c>
      <c r="AB23" s="276">
        <v>0</v>
      </c>
      <c r="AC23" s="276"/>
      <c r="AD23" s="276">
        <v>0</v>
      </c>
      <c r="AE23" s="276"/>
      <c r="AF23" s="276">
        <v>0</v>
      </c>
      <c r="AG23" s="276">
        <v>0</v>
      </c>
      <c r="AH23" s="283" t="s">
        <v>483</v>
      </c>
      <c r="AJ23" s="281" t="s">
        <v>553</v>
      </c>
      <c r="AK23" s="280" t="s">
        <v>552</v>
      </c>
      <c r="AL23" s="276">
        <v>1.2</v>
      </c>
      <c r="AM23" s="279">
        <v>0</v>
      </c>
      <c r="AN23" s="276">
        <v>0</v>
      </c>
      <c r="AO23" s="276">
        <v>1.2</v>
      </c>
      <c r="AP23" s="279">
        <v>0</v>
      </c>
      <c r="AQ23" s="276">
        <v>0</v>
      </c>
      <c r="AR23" s="276">
        <v>0</v>
      </c>
      <c r="AS23" s="271">
        <v>2</v>
      </c>
      <c r="AT23" s="276">
        <v>0</v>
      </c>
      <c r="AU23" s="279">
        <v>0</v>
      </c>
      <c r="AV23" s="276">
        <v>0</v>
      </c>
      <c r="AW23" s="276">
        <v>0</v>
      </c>
      <c r="AX23" s="279">
        <v>0</v>
      </c>
      <c r="AY23" s="276">
        <v>0</v>
      </c>
      <c r="AZ23" s="276">
        <v>0</v>
      </c>
      <c r="BA23" s="278" t="s">
        <v>551</v>
      </c>
      <c r="BB23" s="276">
        <v>0</v>
      </c>
      <c r="BC23" s="279">
        <v>0</v>
      </c>
      <c r="BD23" s="276">
        <v>0</v>
      </c>
      <c r="BE23" s="276">
        <v>0</v>
      </c>
      <c r="BF23" s="279">
        <v>0</v>
      </c>
      <c r="BG23" s="276">
        <v>0</v>
      </c>
      <c r="BH23" s="276">
        <v>0</v>
      </c>
      <c r="BI23" s="278" t="s">
        <v>550</v>
      </c>
      <c r="BJ23" s="276">
        <v>0</v>
      </c>
      <c r="BK23" s="276">
        <v>0</v>
      </c>
      <c r="BL23" s="276">
        <v>0</v>
      </c>
      <c r="BM23" s="276">
        <v>0</v>
      </c>
      <c r="BN23" s="276">
        <v>0</v>
      </c>
      <c r="BO23" s="276">
        <v>0</v>
      </c>
      <c r="BP23" s="276">
        <v>0</v>
      </c>
    </row>
    <row r="24" spans="1:68" x14ac:dyDescent="0.35">
      <c r="A24" s="277" t="s">
        <v>563</v>
      </c>
      <c r="B24" s="277" t="s">
        <v>562</v>
      </c>
      <c r="C24" s="283" t="s">
        <v>505</v>
      </c>
      <c r="D24" s="277" t="s">
        <v>560</v>
      </c>
      <c r="F24" s="277" t="s">
        <v>504</v>
      </c>
      <c r="K24" s="277" t="s">
        <v>819</v>
      </c>
      <c r="L24" s="277" t="s">
        <v>557</v>
      </c>
      <c r="N24" s="277" t="s">
        <v>820</v>
      </c>
      <c r="O24" s="277" t="s">
        <v>819</v>
      </c>
      <c r="P24" s="277" t="s">
        <v>557</v>
      </c>
      <c r="Q24" s="277" t="s">
        <v>556</v>
      </c>
      <c r="R24" s="277" t="s">
        <v>819</v>
      </c>
      <c r="S24" s="276">
        <v>0</v>
      </c>
      <c r="T24" s="276">
        <v>0</v>
      </c>
      <c r="U24" s="276">
        <v>0</v>
      </c>
      <c r="V24" s="276">
        <v>0</v>
      </c>
      <c r="W24" s="276">
        <v>0</v>
      </c>
      <c r="X24" s="276">
        <v>0</v>
      </c>
      <c r="Y24" s="276">
        <v>0</v>
      </c>
      <c r="Z24" s="276">
        <v>0</v>
      </c>
      <c r="AA24" s="276">
        <v>0</v>
      </c>
      <c r="AB24" s="276">
        <v>0</v>
      </c>
      <c r="AC24" s="276"/>
      <c r="AD24" s="276">
        <v>0</v>
      </c>
      <c r="AE24" s="276"/>
      <c r="AF24" s="276">
        <v>0</v>
      </c>
      <c r="AG24" s="276">
        <v>0</v>
      </c>
      <c r="AH24" s="283" t="s">
        <v>483</v>
      </c>
      <c r="AJ24" s="281" t="s">
        <v>553</v>
      </c>
      <c r="AK24" s="280" t="s">
        <v>552</v>
      </c>
      <c r="AL24" s="276">
        <v>0.72</v>
      </c>
      <c r="AM24" s="279">
        <v>0</v>
      </c>
      <c r="AN24" s="276">
        <v>0</v>
      </c>
      <c r="AO24" s="276">
        <v>0.72</v>
      </c>
      <c r="AP24" s="279">
        <v>0</v>
      </c>
      <c r="AQ24" s="276">
        <v>0</v>
      </c>
      <c r="AR24" s="276">
        <v>0</v>
      </c>
      <c r="AS24" s="271">
        <v>2</v>
      </c>
      <c r="AT24" s="276">
        <v>0</v>
      </c>
      <c r="AU24" s="279">
        <v>0</v>
      </c>
      <c r="AV24" s="276">
        <v>0</v>
      </c>
      <c r="AW24" s="276">
        <v>0</v>
      </c>
      <c r="AX24" s="279">
        <v>0</v>
      </c>
      <c r="AY24" s="276">
        <v>0</v>
      </c>
      <c r="AZ24" s="276">
        <v>0</v>
      </c>
      <c r="BA24" s="278" t="s">
        <v>551</v>
      </c>
      <c r="BB24" s="276">
        <v>0</v>
      </c>
      <c r="BC24" s="279">
        <v>0</v>
      </c>
      <c r="BD24" s="276">
        <v>0</v>
      </c>
      <c r="BE24" s="276">
        <v>0</v>
      </c>
      <c r="BF24" s="279">
        <v>0</v>
      </c>
      <c r="BG24" s="276">
        <v>0</v>
      </c>
      <c r="BH24" s="276">
        <v>0</v>
      </c>
      <c r="BI24" s="278" t="s">
        <v>550</v>
      </c>
      <c r="BJ24" s="276">
        <v>0</v>
      </c>
      <c r="BK24" s="276">
        <v>0</v>
      </c>
      <c r="BL24" s="276">
        <v>0</v>
      </c>
      <c r="BM24" s="276">
        <v>0</v>
      </c>
      <c r="BN24" s="276">
        <v>0</v>
      </c>
      <c r="BO24" s="276">
        <v>0</v>
      </c>
      <c r="BP24" s="276">
        <v>0</v>
      </c>
    </row>
    <row r="25" spans="1:68" x14ac:dyDescent="0.35">
      <c r="A25" s="277" t="s">
        <v>563</v>
      </c>
      <c r="B25" s="277" t="s">
        <v>562</v>
      </c>
      <c r="C25" s="283" t="s">
        <v>1051</v>
      </c>
      <c r="D25" s="277" t="s">
        <v>560</v>
      </c>
      <c r="F25" s="277" t="s">
        <v>1050</v>
      </c>
      <c r="H25" s="277" t="s">
        <v>144</v>
      </c>
      <c r="K25" s="277" t="s">
        <v>883</v>
      </c>
      <c r="L25" s="277" t="s">
        <v>557</v>
      </c>
      <c r="N25" s="277" t="s">
        <v>884</v>
      </c>
      <c r="O25" s="277" t="s">
        <v>883</v>
      </c>
      <c r="P25" s="277" t="s">
        <v>557</v>
      </c>
      <c r="Q25" s="277" t="s">
        <v>556</v>
      </c>
      <c r="R25" s="277" t="s">
        <v>883</v>
      </c>
      <c r="S25" s="276">
        <v>0</v>
      </c>
      <c r="T25" s="276">
        <v>0</v>
      </c>
      <c r="U25" s="276">
        <v>0</v>
      </c>
      <c r="V25" s="276">
        <v>0</v>
      </c>
      <c r="W25" s="276">
        <v>0</v>
      </c>
      <c r="X25" s="276">
        <v>0</v>
      </c>
      <c r="Y25" s="276">
        <v>0</v>
      </c>
      <c r="Z25" s="276">
        <v>0</v>
      </c>
      <c r="AA25" s="276">
        <v>0</v>
      </c>
      <c r="AB25" s="276">
        <v>0</v>
      </c>
      <c r="AC25" s="276"/>
      <c r="AD25" s="276">
        <v>0</v>
      </c>
      <c r="AE25" s="276"/>
      <c r="AF25" s="276">
        <v>0</v>
      </c>
      <c r="AG25" s="276">
        <v>0</v>
      </c>
      <c r="AH25" s="283" t="s">
        <v>86</v>
      </c>
      <c r="AI25" s="282" t="s">
        <v>1049</v>
      </c>
      <c r="AJ25" s="281" t="s">
        <v>553</v>
      </c>
      <c r="AK25" s="280" t="s">
        <v>552</v>
      </c>
      <c r="AL25" s="276">
        <v>0.87</v>
      </c>
      <c r="AM25" s="279">
        <v>50</v>
      </c>
      <c r="AN25" s="276">
        <v>0</v>
      </c>
      <c r="AO25" s="276">
        <v>0.87</v>
      </c>
      <c r="AP25" s="279">
        <v>50</v>
      </c>
      <c r="AQ25" s="276">
        <v>0</v>
      </c>
      <c r="AR25" s="276">
        <v>0</v>
      </c>
      <c r="AS25" s="271">
        <v>2</v>
      </c>
      <c r="AT25" s="276">
        <v>1.0751999999999999</v>
      </c>
      <c r="AU25" s="279">
        <v>300</v>
      </c>
      <c r="AV25" s="276">
        <v>0</v>
      </c>
      <c r="AW25" s="276">
        <v>1.0751999999999999</v>
      </c>
      <c r="AX25" s="279">
        <v>300</v>
      </c>
      <c r="AY25" s="276">
        <v>0</v>
      </c>
      <c r="AZ25" s="276">
        <v>0</v>
      </c>
      <c r="BA25" s="278" t="s">
        <v>551</v>
      </c>
      <c r="BB25" s="276">
        <v>1.2653000000000001</v>
      </c>
      <c r="BC25" s="279">
        <v>250</v>
      </c>
      <c r="BD25" s="276">
        <v>0</v>
      </c>
      <c r="BE25" s="276">
        <v>1.2653000000000001</v>
      </c>
      <c r="BF25" s="279">
        <v>250</v>
      </c>
      <c r="BG25" s="276">
        <v>0</v>
      </c>
      <c r="BH25" s="276">
        <v>0</v>
      </c>
      <c r="BI25" s="278" t="s">
        <v>550</v>
      </c>
      <c r="BJ25" s="276">
        <v>1.55</v>
      </c>
      <c r="BK25" s="276">
        <v>0</v>
      </c>
      <c r="BL25" s="276">
        <v>0</v>
      </c>
      <c r="BM25" s="276">
        <v>1.55</v>
      </c>
      <c r="BN25" s="276">
        <v>0</v>
      </c>
      <c r="BO25" s="276">
        <v>0</v>
      </c>
      <c r="BP25" s="276">
        <v>0</v>
      </c>
    </row>
    <row r="26" spans="1:68" x14ac:dyDescent="0.35">
      <c r="A26" s="277" t="s">
        <v>563</v>
      </c>
      <c r="B26" s="277" t="s">
        <v>562</v>
      </c>
      <c r="C26" s="283" t="s">
        <v>1049</v>
      </c>
      <c r="D26" s="277" t="s">
        <v>560</v>
      </c>
      <c r="F26" s="277" t="s">
        <v>1048</v>
      </c>
      <c r="H26" s="277" t="s">
        <v>144</v>
      </c>
      <c r="K26" s="277" t="s">
        <v>883</v>
      </c>
      <c r="L26" s="277" t="s">
        <v>557</v>
      </c>
      <c r="N26" s="277" t="s">
        <v>884</v>
      </c>
      <c r="O26" s="277" t="s">
        <v>883</v>
      </c>
      <c r="P26" s="277" t="s">
        <v>557</v>
      </c>
      <c r="Q26" s="277" t="s">
        <v>556</v>
      </c>
      <c r="R26" s="277" t="s">
        <v>883</v>
      </c>
      <c r="S26" s="276">
        <v>0</v>
      </c>
      <c r="T26" s="276">
        <v>0</v>
      </c>
      <c r="U26" s="276">
        <v>0</v>
      </c>
      <c r="V26" s="276">
        <v>0</v>
      </c>
      <c r="W26" s="276">
        <v>0</v>
      </c>
      <c r="X26" s="276">
        <v>0</v>
      </c>
      <c r="Y26" s="276">
        <v>0</v>
      </c>
      <c r="Z26" s="276">
        <v>0</v>
      </c>
      <c r="AA26" s="276">
        <v>0</v>
      </c>
      <c r="AB26" s="276">
        <v>0</v>
      </c>
      <c r="AC26" s="276"/>
      <c r="AD26" s="276">
        <v>0</v>
      </c>
      <c r="AE26" s="276"/>
      <c r="AF26" s="276">
        <v>0</v>
      </c>
      <c r="AG26" s="276">
        <v>0</v>
      </c>
      <c r="AH26" s="283" t="s">
        <v>483</v>
      </c>
      <c r="AJ26" s="281" t="s">
        <v>553</v>
      </c>
      <c r="AK26" s="280" t="s">
        <v>552</v>
      </c>
      <c r="AL26" s="276">
        <v>0.87</v>
      </c>
      <c r="AM26" s="279">
        <v>50</v>
      </c>
      <c r="AN26" s="276">
        <v>0</v>
      </c>
      <c r="AO26" s="276">
        <v>0.87</v>
      </c>
      <c r="AP26" s="279">
        <v>50</v>
      </c>
      <c r="AQ26" s="276">
        <v>0</v>
      </c>
      <c r="AR26" s="276">
        <v>0</v>
      </c>
      <c r="AS26" s="271">
        <v>2</v>
      </c>
      <c r="AT26" s="276">
        <v>1.06</v>
      </c>
      <c r="AU26" s="279">
        <v>300</v>
      </c>
      <c r="AV26" s="276">
        <v>0</v>
      </c>
      <c r="AW26" s="276">
        <v>1.06</v>
      </c>
      <c r="AX26" s="279">
        <v>300</v>
      </c>
      <c r="AY26" s="276">
        <v>0</v>
      </c>
      <c r="AZ26" s="276">
        <v>0</v>
      </c>
      <c r="BA26" s="278" t="s">
        <v>551</v>
      </c>
      <c r="BB26" s="276">
        <v>1.24</v>
      </c>
      <c r="BC26" s="279">
        <v>250</v>
      </c>
      <c r="BD26" s="276">
        <v>0</v>
      </c>
      <c r="BE26" s="276">
        <v>1.24</v>
      </c>
      <c r="BF26" s="279">
        <v>250</v>
      </c>
      <c r="BG26" s="276">
        <v>0</v>
      </c>
      <c r="BH26" s="276">
        <v>0</v>
      </c>
      <c r="BI26" s="278" t="s">
        <v>550</v>
      </c>
      <c r="BJ26" s="276">
        <v>1.45</v>
      </c>
      <c r="BK26" s="276">
        <v>0</v>
      </c>
      <c r="BL26" s="276">
        <v>0</v>
      </c>
      <c r="BM26" s="276">
        <v>1.45</v>
      </c>
      <c r="BN26" s="276">
        <v>0</v>
      </c>
      <c r="BO26" s="276">
        <v>0</v>
      </c>
      <c r="BP26" s="276">
        <v>0</v>
      </c>
    </row>
    <row r="27" spans="1:68" x14ac:dyDescent="0.35">
      <c r="A27" s="277" t="s">
        <v>563</v>
      </c>
      <c r="B27" s="277" t="s">
        <v>562</v>
      </c>
      <c r="C27" s="283" t="s">
        <v>252</v>
      </c>
      <c r="D27" s="277" t="s">
        <v>560</v>
      </c>
      <c r="F27" s="277" t="s">
        <v>1045</v>
      </c>
      <c r="H27" s="277" t="s">
        <v>144</v>
      </c>
      <c r="K27" s="277" t="s">
        <v>819</v>
      </c>
      <c r="L27" s="277" t="s">
        <v>557</v>
      </c>
      <c r="N27" s="277" t="s">
        <v>820</v>
      </c>
      <c r="O27" s="277" t="s">
        <v>819</v>
      </c>
      <c r="P27" s="277" t="s">
        <v>557</v>
      </c>
      <c r="Q27" s="277" t="s">
        <v>556</v>
      </c>
      <c r="R27" s="277" t="s">
        <v>819</v>
      </c>
      <c r="S27" s="276">
        <v>0</v>
      </c>
      <c r="T27" s="276">
        <v>0</v>
      </c>
      <c r="U27" s="276">
        <v>0</v>
      </c>
      <c r="V27" s="276">
        <v>0</v>
      </c>
      <c r="W27" s="276">
        <v>0</v>
      </c>
      <c r="X27" s="276">
        <v>0</v>
      </c>
      <c r="Y27" s="276">
        <v>0</v>
      </c>
      <c r="Z27" s="276">
        <v>0</v>
      </c>
      <c r="AA27" s="276">
        <v>0</v>
      </c>
      <c r="AB27" s="276">
        <v>0</v>
      </c>
      <c r="AC27" s="276"/>
      <c r="AD27" s="276">
        <v>0</v>
      </c>
      <c r="AE27" s="276"/>
      <c r="AF27" s="276">
        <v>0</v>
      </c>
      <c r="AG27" s="276">
        <v>0</v>
      </c>
      <c r="AH27" s="283" t="s">
        <v>86</v>
      </c>
      <c r="AI27" s="282" t="s">
        <v>305</v>
      </c>
      <c r="AJ27" s="281" t="s">
        <v>553</v>
      </c>
      <c r="AK27" s="280" t="s">
        <v>552</v>
      </c>
      <c r="AL27" s="276">
        <v>0.83</v>
      </c>
      <c r="AM27" s="279">
        <v>50</v>
      </c>
      <c r="AN27" s="276">
        <v>0</v>
      </c>
      <c r="AO27" s="276">
        <v>0.83</v>
      </c>
      <c r="AP27" s="279">
        <v>50</v>
      </c>
      <c r="AQ27" s="276">
        <v>0</v>
      </c>
      <c r="AR27" s="276">
        <v>0</v>
      </c>
      <c r="AS27" s="271">
        <v>2</v>
      </c>
      <c r="AT27" s="276">
        <v>1.05</v>
      </c>
      <c r="AU27" s="279">
        <v>300</v>
      </c>
      <c r="AV27" s="276">
        <v>0</v>
      </c>
      <c r="AW27" s="276">
        <v>1.05</v>
      </c>
      <c r="AX27" s="279">
        <v>300</v>
      </c>
      <c r="AY27" s="276">
        <v>0</v>
      </c>
      <c r="AZ27" s="276">
        <v>0</v>
      </c>
      <c r="BA27" s="278" t="s">
        <v>551</v>
      </c>
      <c r="BB27" s="276">
        <v>1.24</v>
      </c>
      <c r="BC27" s="279">
        <v>250</v>
      </c>
      <c r="BD27" s="276">
        <v>0</v>
      </c>
      <c r="BE27" s="276">
        <v>1.24</v>
      </c>
      <c r="BF27" s="279">
        <v>250</v>
      </c>
      <c r="BG27" s="276">
        <v>0</v>
      </c>
      <c r="BH27" s="276">
        <v>0</v>
      </c>
      <c r="BI27" s="278" t="s">
        <v>550</v>
      </c>
      <c r="BJ27" s="276">
        <v>1.4630000000000001</v>
      </c>
      <c r="BK27" s="276">
        <v>0</v>
      </c>
      <c r="BL27" s="276">
        <v>0</v>
      </c>
      <c r="BM27" s="276">
        <v>1.4630000000000001</v>
      </c>
      <c r="BN27" s="276">
        <v>0</v>
      </c>
      <c r="BO27" s="276">
        <v>0</v>
      </c>
      <c r="BP27" s="276">
        <v>0</v>
      </c>
    </row>
    <row r="28" spans="1:68" x14ac:dyDescent="0.35">
      <c r="A28" s="277" t="s">
        <v>563</v>
      </c>
      <c r="B28" s="277" t="s">
        <v>562</v>
      </c>
      <c r="C28" s="283" t="s">
        <v>1047</v>
      </c>
      <c r="D28" s="277" t="s">
        <v>560</v>
      </c>
      <c r="F28" s="277" t="s">
        <v>1045</v>
      </c>
      <c r="H28" s="277" t="s">
        <v>144</v>
      </c>
      <c r="K28" s="277" t="s">
        <v>819</v>
      </c>
      <c r="L28" s="277" t="s">
        <v>557</v>
      </c>
      <c r="N28" s="277" t="s">
        <v>820</v>
      </c>
      <c r="O28" s="277" t="s">
        <v>819</v>
      </c>
      <c r="P28" s="277" t="s">
        <v>557</v>
      </c>
      <c r="Q28" s="277" t="s">
        <v>556</v>
      </c>
      <c r="R28" s="277" t="s">
        <v>819</v>
      </c>
      <c r="S28" s="276">
        <v>0</v>
      </c>
      <c r="T28" s="276">
        <v>0</v>
      </c>
      <c r="U28" s="276">
        <v>0</v>
      </c>
      <c r="V28" s="276">
        <v>0</v>
      </c>
      <c r="W28" s="276">
        <v>0</v>
      </c>
      <c r="X28" s="276">
        <v>0</v>
      </c>
      <c r="Y28" s="276">
        <v>0</v>
      </c>
      <c r="Z28" s="276">
        <v>0</v>
      </c>
      <c r="AA28" s="276">
        <v>0</v>
      </c>
      <c r="AB28" s="276">
        <v>0</v>
      </c>
      <c r="AC28" s="276"/>
      <c r="AD28" s="276">
        <v>0</v>
      </c>
      <c r="AE28" s="276"/>
      <c r="AF28" s="276">
        <v>0</v>
      </c>
      <c r="AG28" s="276">
        <v>0</v>
      </c>
      <c r="AH28" s="283" t="s">
        <v>86</v>
      </c>
      <c r="AI28" s="282" t="s">
        <v>1044</v>
      </c>
      <c r="AJ28" s="281" t="s">
        <v>553</v>
      </c>
      <c r="AK28" s="280" t="s">
        <v>552</v>
      </c>
      <c r="AL28" s="276">
        <v>0.83</v>
      </c>
      <c r="AM28" s="279">
        <v>50</v>
      </c>
      <c r="AN28" s="276">
        <v>0</v>
      </c>
      <c r="AO28" s="276">
        <v>0.83</v>
      </c>
      <c r="AP28" s="279">
        <v>50</v>
      </c>
      <c r="AQ28" s="276">
        <v>0</v>
      </c>
      <c r="AR28" s="276">
        <v>0</v>
      </c>
      <c r="AS28" s="271">
        <v>2</v>
      </c>
      <c r="AT28" s="276">
        <v>1.05</v>
      </c>
      <c r="AU28" s="279">
        <v>300</v>
      </c>
      <c r="AV28" s="276">
        <v>0</v>
      </c>
      <c r="AW28" s="276">
        <v>1.05</v>
      </c>
      <c r="AX28" s="279">
        <v>300</v>
      </c>
      <c r="AY28" s="276">
        <v>0</v>
      </c>
      <c r="AZ28" s="276">
        <v>0</v>
      </c>
      <c r="BA28" s="278" t="s">
        <v>551</v>
      </c>
      <c r="BB28" s="276">
        <v>1.24</v>
      </c>
      <c r="BC28" s="279">
        <v>250</v>
      </c>
      <c r="BD28" s="276">
        <v>0</v>
      </c>
      <c r="BE28" s="276">
        <v>1.24</v>
      </c>
      <c r="BF28" s="279">
        <v>250</v>
      </c>
      <c r="BG28" s="276">
        <v>0</v>
      </c>
      <c r="BH28" s="276">
        <v>0</v>
      </c>
      <c r="BI28" s="278" t="s">
        <v>550</v>
      </c>
      <c r="BJ28" s="276">
        <v>1.4630000000000001</v>
      </c>
      <c r="BK28" s="276">
        <v>0</v>
      </c>
      <c r="BL28" s="276">
        <v>0</v>
      </c>
      <c r="BM28" s="276">
        <v>1.4630000000000001</v>
      </c>
      <c r="BN28" s="276">
        <v>0</v>
      </c>
      <c r="BO28" s="276">
        <v>0</v>
      </c>
      <c r="BP28" s="276">
        <v>0</v>
      </c>
    </row>
    <row r="29" spans="1:68" x14ac:dyDescent="0.35">
      <c r="A29" s="277" t="s">
        <v>563</v>
      </c>
      <c r="B29" s="277" t="s">
        <v>562</v>
      </c>
      <c r="C29" s="283" t="s">
        <v>1046</v>
      </c>
      <c r="D29" s="277" t="s">
        <v>560</v>
      </c>
      <c r="F29" s="277" t="s">
        <v>1045</v>
      </c>
      <c r="H29" s="277" t="s">
        <v>144</v>
      </c>
      <c r="K29" s="277" t="s">
        <v>819</v>
      </c>
      <c r="L29" s="277" t="s">
        <v>557</v>
      </c>
      <c r="N29" s="277" t="s">
        <v>820</v>
      </c>
      <c r="O29" s="277" t="s">
        <v>819</v>
      </c>
      <c r="P29" s="277" t="s">
        <v>557</v>
      </c>
      <c r="Q29" s="277" t="s">
        <v>556</v>
      </c>
      <c r="R29" s="277" t="s">
        <v>819</v>
      </c>
      <c r="S29" s="276">
        <v>0</v>
      </c>
      <c r="T29" s="276">
        <v>0</v>
      </c>
      <c r="U29" s="276">
        <v>0</v>
      </c>
      <c r="V29" s="276">
        <v>0</v>
      </c>
      <c r="W29" s="276">
        <v>0</v>
      </c>
      <c r="X29" s="276">
        <v>0</v>
      </c>
      <c r="Y29" s="276">
        <v>0</v>
      </c>
      <c r="Z29" s="276">
        <v>0</v>
      </c>
      <c r="AA29" s="276">
        <v>0</v>
      </c>
      <c r="AB29" s="276">
        <v>0</v>
      </c>
      <c r="AC29" s="276"/>
      <c r="AD29" s="276">
        <v>0</v>
      </c>
      <c r="AE29" s="276"/>
      <c r="AF29" s="276">
        <v>0</v>
      </c>
      <c r="AG29" s="276">
        <v>0</v>
      </c>
      <c r="AH29" s="283" t="s">
        <v>86</v>
      </c>
      <c r="AI29" s="282" t="s">
        <v>1043</v>
      </c>
      <c r="AJ29" s="281" t="s">
        <v>553</v>
      </c>
      <c r="AK29" s="280" t="s">
        <v>552</v>
      </c>
      <c r="AL29" s="276">
        <v>0.83</v>
      </c>
      <c r="AM29" s="279">
        <v>50</v>
      </c>
      <c r="AN29" s="276">
        <v>0</v>
      </c>
      <c r="AO29" s="276">
        <v>0.83</v>
      </c>
      <c r="AP29" s="279">
        <v>50</v>
      </c>
      <c r="AQ29" s="276">
        <v>0</v>
      </c>
      <c r="AR29" s="276">
        <v>0</v>
      </c>
      <c r="AS29" s="271">
        <v>2</v>
      </c>
      <c r="AT29" s="276">
        <v>1.05</v>
      </c>
      <c r="AU29" s="279">
        <v>300</v>
      </c>
      <c r="AV29" s="276">
        <v>0</v>
      </c>
      <c r="AW29" s="276">
        <v>1.05</v>
      </c>
      <c r="AX29" s="279">
        <v>300</v>
      </c>
      <c r="AY29" s="276">
        <v>0</v>
      </c>
      <c r="AZ29" s="276">
        <v>0</v>
      </c>
      <c r="BA29" s="278" t="s">
        <v>551</v>
      </c>
      <c r="BB29" s="276">
        <v>1.24</v>
      </c>
      <c r="BC29" s="279">
        <v>250</v>
      </c>
      <c r="BD29" s="276">
        <v>0</v>
      </c>
      <c r="BE29" s="276">
        <v>1.24</v>
      </c>
      <c r="BF29" s="279">
        <v>250</v>
      </c>
      <c r="BG29" s="276">
        <v>0</v>
      </c>
      <c r="BH29" s="276">
        <v>0</v>
      </c>
      <c r="BI29" s="278" t="s">
        <v>550</v>
      </c>
      <c r="BJ29" s="276">
        <v>1.4630000000000001</v>
      </c>
      <c r="BK29" s="276">
        <v>0</v>
      </c>
      <c r="BL29" s="276">
        <v>0</v>
      </c>
      <c r="BM29" s="276">
        <v>1.4630000000000001</v>
      </c>
      <c r="BN29" s="276">
        <v>0</v>
      </c>
      <c r="BO29" s="276">
        <v>0</v>
      </c>
      <c r="BP29" s="276">
        <v>0</v>
      </c>
    </row>
    <row r="30" spans="1:68" x14ac:dyDescent="0.35">
      <c r="A30" s="277" t="s">
        <v>563</v>
      </c>
      <c r="B30" s="277" t="s">
        <v>562</v>
      </c>
      <c r="C30" s="283" t="s">
        <v>305</v>
      </c>
      <c r="D30" s="277" t="s">
        <v>560</v>
      </c>
      <c r="F30" s="277" t="s">
        <v>1042</v>
      </c>
      <c r="H30" s="277" t="s">
        <v>144</v>
      </c>
      <c r="K30" s="277" t="s">
        <v>819</v>
      </c>
      <c r="L30" s="277" t="s">
        <v>557</v>
      </c>
      <c r="N30" s="277" t="s">
        <v>820</v>
      </c>
      <c r="O30" s="277" t="s">
        <v>819</v>
      </c>
      <c r="P30" s="277" t="s">
        <v>557</v>
      </c>
      <c r="Q30" s="277" t="s">
        <v>556</v>
      </c>
      <c r="R30" s="277" t="s">
        <v>819</v>
      </c>
      <c r="S30" s="276">
        <v>0</v>
      </c>
      <c r="T30" s="276">
        <v>0</v>
      </c>
      <c r="U30" s="276">
        <v>0</v>
      </c>
      <c r="V30" s="276">
        <v>0</v>
      </c>
      <c r="W30" s="276">
        <v>0</v>
      </c>
      <c r="X30" s="276">
        <v>0</v>
      </c>
      <c r="Y30" s="276">
        <v>0</v>
      </c>
      <c r="Z30" s="276">
        <v>0</v>
      </c>
      <c r="AA30" s="276">
        <v>0</v>
      </c>
      <c r="AB30" s="276">
        <v>0</v>
      </c>
      <c r="AC30" s="276"/>
      <c r="AD30" s="276">
        <v>0</v>
      </c>
      <c r="AE30" s="276"/>
      <c r="AF30" s="276">
        <v>0</v>
      </c>
      <c r="AG30" s="276">
        <v>0</v>
      </c>
      <c r="AH30" s="283" t="s">
        <v>483</v>
      </c>
      <c r="AJ30" s="281" t="s">
        <v>553</v>
      </c>
      <c r="AK30" s="280" t="s">
        <v>552</v>
      </c>
      <c r="AL30" s="276">
        <v>0.76</v>
      </c>
      <c r="AM30" s="279">
        <v>50</v>
      </c>
      <c r="AN30" s="276">
        <v>0</v>
      </c>
      <c r="AO30" s="276">
        <v>0.76</v>
      </c>
      <c r="AP30" s="279">
        <v>50</v>
      </c>
      <c r="AQ30" s="276">
        <v>0</v>
      </c>
      <c r="AR30" s="276">
        <v>0</v>
      </c>
      <c r="AS30" s="271">
        <v>2</v>
      </c>
      <c r="AT30" s="276">
        <v>0.97</v>
      </c>
      <c r="AU30" s="279">
        <v>300</v>
      </c>
      <c r="AV30" s="276">
        <v>0</v>
      </c>
      <c r="AW30" s="276">
        <v>0.97</v>
      </c>
      <c r="AX30" s="279">
        <v>300</v>
      </c>
      <c r="AY30" s="276">
        <v>0</v>
      </c>
      <c r="AZ30" s="276">
        <v>0</v>
      </c>
      <c r="BA30" s="278" t="s">
        <v>551</v>
      </c>
      <c r="BB30" s="276">
        <v>1.1599999999999999</v>
      </c>
      <c r="BC30" s="279">
        <v>250</v>
      </c>
      <c r="BD30" s="276">
        <v>0</v>
      </c>
      <c r="BE30" s="276">
        <v>1.1599999999999999</v>
      </c>
      <c r="BF30" s="279">
        <v>250</v>
      </c>
      <c r="BG30" s="276">
        <v>0</v>
      </c>
      <c r="BH30" s="276">
        <v>0</v>
      </c>
      <c r="BI30" s="278" t="s">
        <v>550</v>
      </c>
      <c r="BJ30" s="276">
        <v>1.39</v>
      </c>
      <c r="BK30" s="276">
        <v>0</v>
      </c>
      <c r="BL30" s="276">
        <v>0</v>
      </c>
      <c r="BM30" s="276">
        <v>1.39</v>
      </c>
      <c r="BN30" s="276">
        <v>0</v>
      </c>
      <c r="BO30" s="276">
        <v>0</v>
      </c>
      <c r="BP30" s="276">
        <v>0</v>
      </c>
    </row>
    <row r="31" spans="1:68" x14ac:dyDescent="0.35">
      <c r="A31" s="277" t="s">
        <v>563</v>
      </c>
      <c r="B31" s="277" t="s">
        <v>562</v>
      </c>
      <c r="C31" s="283" t="s">
        <v>1044</v>
      </c>
      <c r="D31" s="277" t="s">
        <v>560</v>
      </c>
      <c r="F31" s="277" t="s">
        <v>1042</v>
      </c>
      <c r="H31" s="277" t="s">
        <v>144</v>
      </c>
      <c r="K31" s="277" t="s">
        <v>819</v>
      </c>
      <c r="L31" s="277" t="s">
        <v>557</v>
      </c>
      <c r="N31" s="277" t="s">
        <v>820</v>
      </c>
      <c r="O31" s="277" t="s">
        <v>819</v>
      </c>
      <c r="P31" s="277" t="s">
        <v>557</v>
      </c>
      <c r="Q31" s="277" t="s">
        <v>556</v>
      </c>
      <c r="R31" s="277" t="s">
        <v>819</v>
      </c>
      <c r="S31" s="276">
        <v>0</v>
      </c>
      <c r="T31" s="276">
        <v>0</v>
      </c>
      <c r="U31" s="276">
        <v>0</v>
      </c>
      <c r="V31" s="276">
        <v>0</v>
      </c>
      <c r="W31" s="276">
        <v>0</v>
      </c>
      <c r="X31" s="276">
        <v>0</v>
      </c>
      <c r="Y31" s="276">
        <v>0</v>
      </c>
      <c r="Z31" s="276">
        <v>0</v>
      </c>
      <c r="AA31" s="276">
        <v>0</v>
      </c>
      <c r="AB31" s="276">
        <v>0</v>
      </c>
      <c r="AC31" s="276"/>
      <c r="AD31" s="276">
        <v>0</v>
      </c>
      <c r="AE31" s="276"/>
      <c r="AF31" s="276">
        <v>0</v>
      </c>
      <c r="AG31" s="276">
        <v>0</v>
      </c>
      <c r="AH31" s="283" t="s">
        <v>483</v>
      </c>
      <c r="AJ31" s="281" t="s">
        <v>553</v>
      </c>
      <c r="AK31" s="280" t="s">
        <v>552</v>
      </c>
      <c r="AL31" s="276">
        <v>0.76</v>
      </c>
      <c r="AM31" s="279">
        <v>50</v>
      </c>
      <c r="AN31" s="276">
        <v>0</v>
      </c>
      <c r="AO31" s="276">
        <v>0.76</v>
      </c>
      <c r="AP31" s="279">
        <v>50</v>
      </c>
      <c r="AQ31" s="276">
        <v>0</v>
      </c>
      <c r="AR31" s="276">
        <v>0</v>
      </c>
      <c r="AS31" s="271">
        <v>2</v>
      </c>
      <c r="AT31" s="276">
        <v>0.97</v>
      </c>
      <c r="AU31" s="279">
        <v>300</v>
      </c>
      <c r="AV31" s="276">
        <v>0</v>
      </c>
      <c r="AW31" s="276">
        <v>0.97</v>
      </c>
      <c r="AX31" s="279">
        <v>300</v>
      </c>
      <c r="AY31" s="276">
        <v>0</v>
      </c>
      <c r="AZ31" s="276">
        <v>0</v>
      </c>
      <c r="BA31" s="278" t="s">
        <v>551</v>
      </c>
      <c r="BB31" s="276">
        <v>1.1599999999999999</v>
      </c>
      <c r="BC31" s="279">
        <v>250</v>
      </c>
      <c r="BD31" s="276">
        <v>0</v>
      </c>
      <c r="BE31" s="276">
        <v>1.1599999999999999</v>
      </c>
      <c r="BF31" s="279">
        <v>250</v>
      </c>
      <c r="BG31" s="276">
        <v>0</v>
      </c>
      <c r="BH31" s="276">
        <v>0</v>
      </c>
      <c r="BI31" s="278" t="s">
        <v>550</v>
      </c>
      <c r="BJ31" s="276">
        <v>1.39</v>
      </c>
      <c r="BK31" s="276">
        <v>0</v>
      </c>
      <c r="BL31" s="276">
        <v>0</v>
      </c>
      <c r="BM31" s="276">
        <v>1.39</v>
      </c>
      <c r="BN31" s="276">
        <v>0</v>
      </c>
      <c r="BO31" s="276">
        <v>0</v>
      </c>
      <c r="BP31" s="276">
        <v>0</v>
      </c>
    </row>
    <row r="32" spans="1:68" x14ac:dyDescent="0.35">
      <c r="A32" s="277" t="s">
        <v>563</v>
      </c>
      <c r="B32" s="277" t="s">
        <v>562</v>
      </c>
      <c r="C32" s="283" t="s">
        <v>1043</v>
      </c>
      <c r="D32" s="277" t="s">
        <v>560</v>
      </c>
      <c r="F32" s="277" t="s">
        <v>1042</v>
      </c>
      <c r="H32" s="277" t="s">
        <v>144</v>
      </c>
      <c r="K32" s="277" t="s">
        <v>819</v>
      </c>
      <c r="L32" s="277" t="s">
        <v>557</v>
      </c>
      <c r="N32" s="277" t="s">
        <v>820</v>
      </c>
      <c r="O32" s="277" t="s">
        <v>819</v>
      </c>
      <c r="P32" s="277" t="s">
        <v>557</v>
      </c>
      <c r="Q32" s="277" t="s">
        <v>556</v>
      </c>
      <c r="R32" s="277" t="s">
        <v>819</v>
      </c>
      <c r="S32" s="276">
        <v>0</v>
      </c>
      <c r="T32" s="276">
        <v>0</v>
      </c>
      <c r="U32" s="276">
        <v>0</v>
      </c>
      <c r="V32" s="276">
        <v>0</v>
      </c>
      <c r="W32" s="276">
        <v>0</v>
      </c>
      <c r="X32" s="276">
        <v>0</v>
      </c>
      <c r="Y32" s="276">
        <v>0</v>
      </c>
      <c r="Z32" s="276">
        <v>0</v>
      </c>
      <c r="AA32" s="276">
        <v>0</v>
      </c>
      <c r="AB32" s="276">
        <v>0</v>
      </c>
      <c r="AC32" s="276"/>
      <c r="AD32" s="276">
        <v>0</v>
      </c>
      <c r="AE32" s="276"/>
      <c r="AF32" s="276">
        <v>0</v>
      </c>
      <c r="AG32" s="276">
        <v>0</v>
      </c>
      <c r="AH32" s="283" t="s">
        <v>483</v>
      </c>
      <c r="AJ32" s="281" t="s">
        <v>553</v>
      </c>
      <c r="AK32" s="280" t="s">
        <v>552</v>
      </c>
      <c r="AL32" s="276">
        <v>0.76</v>
      </c>
      <c r="AM32" s="279">
        <v>50</v>
      </c>
      <c r="AN32" s="276">
        <v>0</v>
      </c>
      <c r="AO32" s="276">
        <v>0.76</v>
      </c>
      <c r="AP32" s="279">
        <v>50</v>
      </c>
      <c r="AQ32" s="276">
        <v>0</v>
      </c>
      <c r="AR32" s="276">
        <v>0</v>
      </c>
      <c r="AS32" s="271">
        <v>2</v>
      </c>
      <c r="AT32" s="276">
        <v>0.97</v>
      </c>
      <c r="AU32" s="279">
        <v>300</v>
      </c>
      <c r="AV32" s="276">
        <v>0</v>
      </c>
      <c r="AW32" s="276">
        <v>0.97</v>
      </c>
      <c r="AX32" s="279">
        <v>300</v>
      </c>
      <c r="AY32" s="276">
        <v>0</v>
      </c>
      <c r="AZ32" s="276">
        <v>0</v>
      </c>
      <c r="BA32" s="278" t="s">
        <v>551</v>
      </c>
      <c r="BB32" s="276">
        <v>1.1599999999999999</v>
      </c>
      <c r="BC32" s="279">
        <v>250</v>
      </c>
      <c r="BD32" s="276">
        <v>0</v>
      </c>
      <c r="BE32" s="276">
        <v>1.1599999999999999</v>
      </c>
      <c r="BF32" s="279">
        <v>250</v>
      </c>
      <c r="BG32" s="276">
        <v>0</v>
      </c>
      <c r="BH32" s="276">
        <v>0</v>
      </c>
      <c r="BI32" s="278" t="s">
        <v>550</v>
      </c>
      <c r="BJ32" s="276">
        <v>1.39</v>
      </c>
      <c r="BK32" s="276">
        <v>0</v>
      </c>
      <c r="BL32" s="276">
        <v>0</v>
      </c>
      <c r="BM32" s="276">
        <v>1.39</v>
      </c>
      <c r="BN32" s="276">
        <v>0</v>
      </c>
      <c r="BO32" s="276">
        <v>0</v>
      </c>
      <c r="BP32" s="276">
        <v>0</v>
      </c>
    </row>
    <row r="33" spans="1:68" x14ac:dyDescent="0.35">
      <c r="A33" s="277" t="s">
        <v>563</v>
      </c>
      <c r="B33" s="277" t="s">
        <v>562</v>
      </c>
      <c r="C33" s="283" t="s">
        <v>1041</v>
      </c>
      <c r="D33" s="277" t="s">
        <v>560</v>
      </c>
      <c r="F33" s="277" t="s">
        <v>1040</v>
      </c>
      <c r="K33" s="277" t="s">
        <v>689</v>
      </c>
      <c r="L33" s="277" t="s">
        <v>557</v>
      </c>
      <c r="N33" s="277" t="s">
        <v>690</v>
      </c>
      <c r="O33" s="277" t="s">
        <v>689</v>
      </c>
      <c r="P33" s="277" t="s">
        <v>557</v>
      </c>
      <c r="Q33" s="277" t="s">
        <v>556</v>
      </c>
      <c r="R33" s="277" t="s">
        <v>689</v>
      </c>
      <c r="S33" s="276">
        <v>270</v>
      </c>
      <c r="T33" s="276">
        <v>0</v>
      </c>
      <c r="U33" s="276">
        <v>0</v>
      </c>
      <c r="V33" s="276">
        <v>0</v>
      </c>
      <c r="W33" s="276">
        <v>0</v>
      </c>
      <c r="X33" s="276">
        <v>0</v>
      </c>
      <c r="Y33" s="276">
        <v>0</v>
      </c>
      <c r="Z33" s="276">
        <v>0</v>
      </c>
      <c r="AA33" s="276">
        <v>0</v>
      </c>
      <c r="AB33" s="276">
        <v>0</v>
      </c>
      <c r="AC33" s="276"/>
      <c r="AD33" s="276">
        <v>0</v>
      </c>
      <c r="AE33" s="276"/>
      <c r="AF33" s="276">
        <v>0</v>
      </c>
      <c r="AG33" s="276">
        <v>0</v>
      </c>
      <c r="AH33" s="283" t="s">
        <v>483</v>
      </c>
      <c r="AJ33" s="281" t="s">
        <v>553</v>
      </c>
      <c r="AK33" s="280" t="s">
        <v>552</v>
      </c>
      <c r="AL33" s="276">
        <v>0</v>
      </c>
      <c r="AM33" s="279">
        <v>0</v>
      </c>
      <c r="AN33" s="276">
        <v>0</v>
      </c>
      <c r="AO33" s="276">
        <v>0</v>
      </c>
      <c r="AP33" s="279">
        <v>0</v>
      </c>
      <c r="AQ33" s="276">
        <v>0</v>
      </c>
      <c r="AR33" s="276">
        <v>0</v>
      </c>
      <c r="AS33" s="271">
        <v>2</v>
      </c>
      <c r="AT33" s="276">
        <v>0</v>
      </c>
      <c r="AU33" s="279">
        <v>0</v>
      </c>
      <c r="AV33" s="276">
        <v>0</v>
      </c>
      <c r="AW33" s="276">
        <v>0</v>
      </c>
      <c r="AX33" s="279">
        <v>0</v>
      </c>
      <c r="AY33" s="276">
        <v>0</v>
      </c>
      <c r="AZ33" s="276">
        <v>0</v>
      </c>
      <c r="BA33" s="278" t="s">
        <v>551</v>
      </c>
      <c r="BB33" s="276">
        <v>0</v>
      </c>
      <c r="BC33" s="279">
        <v>0</v>
      </c>
      <c r="BD33" s="276">
        <v>0</v>
      </c>
      <c r="BE33" s="276">
        <v>0</v>
      </c>
      <c r="BF33" s="279">
        <v>0</v>
      </c>
      <c r="BG33" s="276">
        <v>0</v>
      </c>
      <c r="BH33" s="276">
        <v>0</v>
      </c>
      <c r="BI33" s="278" t="s">
        <v>550</v>
      </c>
      <c r="BJ33" s="276">
        <v>0</v>
      </c>
      <c r="BK33" s="276">
        <v>0</v>
      </c>
      <c r="BL33" s="276">
        <v>0</v>
      </c>
      <c r="BM33" s="276">
        <v>0</v>
      </c>
      <c r="BN33" s="276">
        <v>0</v>
      </c>
      <c r="BO33" s="276">
        <v>0</v>
      </c>
      <c r="BP33" s="276">
        <v>0</v>
      </c>
    </row>
    <row r="34" spans="1:68" x14ac:dyDescent="0.35">
      <c r="A34" s="277" t="s">
        <v>563</v>
      </c>
      <c r="B34" s="277" t="s">
        <v>562</v>
      </c>
      <c r="C34" s="283" t="s">
        <v>1039</v>
      </c>
      <c r="D34" s="277" t="s">
        <v>560</v>
      </c>
      <c r="F34" s="277" t="s">
        <v>1038</v>
      </c>
      <c r="K34" s="277" t="s">
        <v>689</v>
      </c>
      <c r="L34" s="277" t="s">
        <v>557</v>
      </c>
      <c r="N34" s="277" t="s">
        <v>690</v>
      </c>
      <c r="O34" s="277" t="s">
        <v>689</v>
      </c>
      <c r="P34" s="277" t="s">
        <v>557</v>
      </c>
      <c r="Q34" s="277" t="s">
        <v>556</v>
      </c>
      <c r="R34" s="277" t="s">
        <v>689</v>
      </c>
      <c r="S34" s="276">
        <v>0</v>
      </c>
      <c r="T34" s="276">
        <v>0</v>
      </c>
      <c r="U34" s="276">
        <v>0</v>
      </c>
      <c r="V34" s="276">
        <v>0</v>
      </c>
      <c r="W34" s="276">
        <v>0</v>
      </c>
      <c r="X34" s="276">
        <v>0</v>
      </c>
      <c r="Y34" s="276">
        <v>0</v>
      </c>
      <c r="Z34" s="276">
        <v>0</v>
      </c>
      <c r="AA34" s="276">
        <v>0</v>
      </c>
      <c r="AB34" s="276">
        <v>0</v>
      </c>
      <c r="AC34" s="276"/>
      <c r="AD34" s="276">
        <v>0</v>
      </c>
      <c r="AE34" s="276"/>
      <c r="AF34" s="276">
        <v>0</v>
      </c>
      <c r="AG34" s="276">
        <v>0</v>
      </c>
      <c r="AH34" s="283" t="s">
        <v>86</v>
      </c>
      <c r="AI34" s="282" t="s">
        <v>1033</v>
      </c>
      <c r="AJ34" s="281" t="s">
        <v>553</v>
      </c>
      <c r="AK34" s="280" t="s">
        <v>552</v>
      </c>
      <c r="AL34" s="276">
        <v>0.94</v>
      </c>
      <c r="AM34" s="279">
        <v>0</v>
      </c>
      <c r="AN34" s="276">
        <v>0</v>
      </c>
      <c r="AO34" s="276">
        <v>0.94</v>
      </c>
      <c r="AP34" s="279">
        <v>0</v>
      </c>
      <c r="AQ34" s="276">
        <v>0</v>
      </c>
      <c r="AR34" s="276">
        <v>0</v>
      </c>
      <c r="AS34" s="271">
        <v>2</v>
      </c>
      <c r="AT34" s="276">
        <v>0</v>
      </c>
      <c r="AU34" s="279">
        <v>0</v>
      </c>
      <c r="AV34" s="276">
        <v>0</v>
      </c>
      <c r="AW34" s="276">
        <v>0</v>
      </c>
      <c r="AX34" s="279">
        <v>0</v>
      </c>
      <c r="AY34" s="276">
        <v>0</v>
      </c>
      <c r="AZ34" s="276">
        <v>0</v>
      </c>
      <c r="BA34" s="278" t="s">
        <v>551</v>
      </c>
      <c r="BB34" s="276">
        <v>0</v>
      </c>
      <c r="BC34" s="279">
        <v>0</v>
      </c>
      <c r="BD34" s="276">
        <v>0</v>
      </c>
      <c r="BE34" s="276">
        <v>0</v>
      </c>
      <c r="BF34" s="279">
        <v>0</v>
      </c>
      <c r="BG34" s="276">
        <v>0</v>
      </c>
      <c r="BH34" s="276">
        <v>0</v>
      </c>
      <c r="BI34" s="278" t="s">
        <v>550</v>
      </c>
      <c r="BJ34" s="276">
        <v>0</v>
      </c>
      <c r="BK34" s="276">
        <v>0</v>
      </c>
      <c r="BL34" s="276">
        <v>0</v>
      </c>
      <c r="BM34" s="276">
        <v>0</v>
      </c>
      <c r="BN34" s="276">
        <v>0</v>
      </c>
      <c r="BO34" s="276">
        <v>0</v>
      </c>
      <c r="BP34" s="276">
        <v>0</v>
      </c>
    </row>
    <row r="35" spans="1:68" x14ac:dyDescent="0.35">
      <c r="A35" s="277" t="s">
        <v>563</v>
      </c>
      <c r="B35" s="277" t="s">
        <v>562</v>
      </c>
      <c r="C35" s="283" t="s">
        <v>1037</v>
      </c>
      <c r="D35" s="277" t="s">
        <v>560</v>
      </c>
      <c r="F35" s="277" t="s">
        <v>1036</v>
      </c>
      <c r="K35" s="277" t="s">
        <v>689</v>
      </c>
      <c r="L35" s="277" t="s">
        <v>557</v>
      </c>
      <c r="N35" s="277" t="s">
        <v>690</v>
      </c>
      <c r="O35" s="277" t="s">
        <v>689</v>
      </c>
      <c r="P35" s="277" t="s">
        <v>557</v>
      </c>
      <c r="Q35" s="277" t="s">
        <v>556</v>
      </c>
      <c r="R35" s="277" t="s">
        <v>689</v>
      </c>
      <c r="S35" s="276">
        <v>0</v>
      </c>
      <c r="T35" s="276">
        <v>0</v>
      </c>
      <c r="U35" s="276">
        <v>0</v>
      </c>
      <c r="V35" s="276">
        <v>0</v>
      </c>
      <c r="W35" s="276">
        <v>0</v>
      </c>
      <c r="X35" s="276">
        <v>0</v>
      </c>
      <c r="Y35" s="276">
        <v>0</v>
      </c>
      <c r="Z35" s="276">
        <v>0</v>
      </c>
      <c r="AA35" s="276">
        <v>0</v>
      </c>
      <c r="AB35" s="276">
        <v>0</v>
      </c>
      <c r="AC35" s="276"/>
      <c r="AD35" s="276">
        <v>0</v>
      </c>
      <c r="AE35" s="276"/>
      <c r="AF35" s="276">
        <v>0</v>
      </c>
      <c r="AG35" s="276">
        <v>0</v>
      </c>
      <c r="AH35" s="283" t="s">
        <v>86</v>
      </c>
      <c r="AI35" s="282" t="s">
        <v>1031</v>
      </c>
      <c r="AJ35" s="281" t="s">
        <v>553</v>
      </c>
      <c r="AK35" s="280" t="s">
        <v>552</v>
      </c>
      <c r="AL35" s="276">
        <v>2.7</v>
      </c>
      <c r="AM35" s="279">
        <v>0</v>
      </c>
      <c r="AN35" s="276">
        <v>0</v>
      </c>
      <c r="AO35" s="276">
        <v>2.7</v>
      </c>
      <c r="AP35" s="279">
        <v>0</v>
      </c>
      <c r="AQ35" s="276">
        <v>0</v>
      </c>
      <c r="AR35" s="276">
        <v>0</v>
      </c>
      <c r="AS35" s="271">
        <v>2</v>
      </c>
      <c r="AT35" s="276">
        <v>0</v>
      </c>
      <c r="AU35" s="279">
        <v>0</v>
      </c>
      <c r="AV35" s="276">
        <v>0</v>
      </c>
      <c r="AW35" s="276">
        <v>0</v>
      </c>
      <c r="AX35" s="279">
        <v>0</v>
      </c>
      <c r="AY35" s="276">
        <v>0</v>
      </c>
      <c r="AZ35" s="276">
        <v>0</v>
      </c>
      <c r="BA35" s="278" t="s">
        <v>551</v>
      </c>
      <c r="BB35" s="276">
        <v>0</v>
      </c>
      <c r="BC35" s="279">
        <v>0</v>
      </c>
      <c r="BD35" s="276">
        <v>0</v>
      </c>
      <c r="BE35" s="276">
        <v>0</v>
      </c>
      <c r="BF35" s="279">
        <v>0</v>
      </c>
      <c r="BG35" s="276">
        <v>0</v>
      </c>
      <c r="BH35" s="276">
        <v>0</v>
      </c>
      <c r="BI35" s="278" t="s">
        <v>550</v>
      </c>
      <c r="BJ35" s="276">
        <v>0</v>
      </c>
      <c r="BK35" s="276">
        <v>0</v>
      </c>
      <c r="BL35" s="276">
        <v>0</v>
      </c>
      <c r="BM35" s="276">
        <v>0</v>
      </c>
      <c r="BN35" s="276">
        <v>0</v>
      </c>
      <c r="BO35" s="276">
        <v>0</v>
      </c>
      <c r="BP35" s="276">
        <v>0</v>
      </c>
    </row>
    <row r="36" spans="1:68" x14ac:dyDescent="0.35">
      <c r="A36" s="277" t="s">
        <v>563</v>
      </c>
      <c r="B36" s="277" t="s">
        <v>562</v>
      </c>
      <c r="C36" s="283" t="s">
        <v>1035</v>
      </c>
      <c r="D36" s="277" t="s">
        <v>560</v>
      </c>
      <c r="F36" s="277" t="s">
        <v>1034</v>
      </c>
      <c r="K36" s="277" t="s">
        <v>689</v>
      </c>
      <c r="L36" s="277" t="s">
        <v>557</v>
      </c>
      <c r="N36" s="277" t="s">
        <v>690</v>
      </c>
      <c r="O36" s="277" t="s">
        <v>689</v>
      </c>
      <c r="P36" s="277" t="s">
        <v>557</v>
      </c>
      <c r="Q36" s="277" t="s">
        <v>556</v>
      </c>
      <c r="R36" s="277" t="s">
        <v>689</v>
      </c>
      <c r="S36" s="276">
        <v>0</v>
      </c>
      <c r="T36" s="276">
        <v>0</v>
      </c>
      <c r="U36" s="276">
        <v>0</v>
      </c>
      <c r="V36" s="276">
        <v>0</v>
      </c>
      <c r="W36" s="276">
        <v>0</v>
      </c>
      <c r="X36" s="276">
        <v>0</v>
      </c>
      <c r="Y36" s="276">
        <v>0</v>
      </c>
      <c r="Z36" s="276">
        <v>0</v>
      </c>
      <c r="AA36" s="276">
        <v>0</v>
      </c>
      <c r="AB36" s="276">
        <v>0</v>
      </c>
      <c r="AC36" s="276"/>
      <c r="AD36" s="276">
        <v>0</v>
      </c>
      <c r="AE36" s="276"/>
      <c r="AF36" s="276">
        <v>0</v>
      </c>
      <c r="AG36" s="276">
        <v>0</v>
      </c>
      <c r="AH36" s="283" t="s">
        <v>86</v>
      </c>
      <c r="AI36" s="282" t="s">
        <v>1029</v>
      </c>
      <c r="AJ36" s="281" t="s">
        <v>553</v>
      </c>
      <c r="AK36" s="280" t="s">
        <v>552</v>
      </c>
      <c r="AL36" s="276">
        <v>1.4</v>
      </c>
      <c r="AM36" s="279">
        <v>0</v>
      </c>
      <c r="AN36" s="276">
        <v>0</v>
      </c>
      <c r="AO36" s="276">
        <v>1.4</v>
      </c>
      <c r="AP36" s="279">
        <v>0</v>
      </c>
      <c r="AQ36" s="276">
        <v>0</v>
      </c>
      <c r="AR36" s="276">
        <v>0</v>
      </c>
      <c r="AS36" s="271">
        <v>2</v>
      </c>
      <c r="AT36" s="276">
        <v>0</v>
      </c>
      <c r="AU36" s="279">
        <v>0</v>
      </c>
      <c r="AV36" s="276">
        <v>0</v>
      </c>
      <c r="AW36" s="276">
        <v>0</v>
      </c>
      <c r="AX36" s="279">
        <v>0</v>
      </c>
      <c r="AY36" s="276">
        <v>0</v>
      </c>
      <c r="AZ36" s="276">
        <v>0</v>
      </c>
      <c r="BA36" s="278" t="s">
        <v>551</v>
      </c>
      <c r="BB36" s="276">
        <v>0</v>
      </c>
      <c r="BC36" s="279">
        <v>0</v>
      </c>
      <c r="BD36" s="276">
        <v>0</v>
      </c>
      <c r="BE36" s="276">
        <v>0</v>
      </c>
      <c r="BF36" s="279">
        <v>0</v>
      </c>
      <c r="BG36" s="276">
        <v>0</v>
      </c>
      <c r="BH36" s="276">
        <v>0</v>
      </c>
      <c r="BI36" s="278" t="s">
        <v>550</v>
      </c>
      <c r="BJ36" s="276">
        <v>0</v>
      </c>
      <c r="BK36" s="276">
        <v>0</v>
      </c>
      <c r="BL36" s="276">
        <v>0</v>
      </c>
      <c r="BM36" s="276">
        <v>0</v>
      </c>
      <c r="BN36" s="276">
        <v>0</v>
      </c>
      <c r="BO36" s="276">
        <v>0</v>
      </c>
      <c r="BP36" s="276">
        <v>0</v>
      </c>
    </row>
    <row r="37" spans="1:68" x14ac:dyDescent="0.35">
      <c r="A37" s="277" t="s">
        <v>563</v>
      </c>
      <c r="B37" s="277" t="s">
        <v>562</v>
      </c>
      <c r="C37" s="283" t="s">
        <v>1033</v>
      </c>
      <c r="D37" s="277" t="s">
        <v>560</v>
      </c>
      <c r="F37" s="277" t="s">
        <v>1032</v>
      </c>
      <c r="K37" s="277" t="s">
        <v>689</v>
      </c>
      <c r="L37" s="277" t="s">
        <v>557</v>
      </c>
      <c r="N37" s="277" t="s">
        <v>690</v>
      </c>
      <c r="O37" s="277" t="s">
        <v>689</v>
      </c>
      <c r="P37" s="277" t="s">
        <v>557</v>
      </c>
      <c r="Q37" s="277" t="s">
        <v>556</v>
      </c>
      <c r="R37" s="277" t="s">
        <v>689</v>
      </c>
      <c r="S37" s="276">
        <v>0</v>
      </c>
      <c r="T37" s="276">
        <v>0</v>
      </c>
      <c r="U37" s="276">
        <v>0</v>
      </c>
      <c r="V37" s="276">
        <v>0</v>
      </c>
      <c r="W37" s="276">
        <v>0</v>
      </c>
      <c r="X37" s="276">
        <v>0</v>
      </c>
      <c r="Y37" s="276">
        <v>0</v>
      </c>
      <c r="Z37" s="276">
        <v>0</v>
      </c>
      <c r="AA37" s="276">
        <v>0</v>
      </c>
      <c r="AB37" s="276">
        <v>0</v>
      </c>
      <c r="AC37" s="276"/>
      <c r="AD37" s="276">
        <v>0</v>
      </c>
      <c r="AE37" s="276"/>
      <c r="AF37" s="276">
        <v>0</v>
      </c>
      <c r="AG37" s="276">
        <v>0</v>
      </c>
      <c r="AH37" s="283" t="s">
        <v>483</v>
      </c>
      <c r="AJ37" s="281" t="s">
        <v>553</v>
      </c>
      <c r="AK37" s="280" t="s">
        <v>552</v>
      </c>
      <c r="AL37" s="276">
        <v>0.85</v>
      </c>
      <c r="AM37" s="279">
        <v>0</v>
      </c>
      <c r="AN37" s="276">
        <v>0</v>
      </c>
      <c r="AO37" s="276">
        <v>0.85</v>
      </c>
      <c r="AP37" s="279">
        <v>0</v>
      </c>
      <c r="AQ37" s="276">
        <v>0</v>
      </c>
      <c r="AR37" s="276">
        <v>0</v>
      </c>
      <c r="AS37" s="271">
        <v>2</v>
      </c>
      <c r="AT37" s="276">
        <v>0</v>
      </c>
      <c r="AU37" s="279">
        <v>0</v>
      </c>
      <c r="AV37" s="276">
        <v>0</v>
      </c>
      <c r="AW37" s="276">
        <v>0</v>
      </c>
      <c r="AX37" s="279">
        <v>0</v>
      </c>
      <c r="AY37" s="276">
        <v>0</v>
      </c>
      <c r="AZ37" s="276">
        <v>0</v>
      </c>
      <c r="BA37" s="278" t="s">
        <v>551</v>
      </c>
      <c r="BB37" s="276">
        <v>0</v>
      </c>
      <c r="BC37" s="279">
        <v>0</v>
      </c>
      <c r="BD37" s="276">
        <v>0</v>
      </c>
      <c r="BE37" s="276">
        <v>0</v>
      </c>
      <c r="BF37" s="279">
        <v>0</v>
      </c>
      <c r="BG37" s="276">
        <v>0</v>
      </c>
      <c r="BH37" s="276">
        <v>0</v>
      </c>
      <c r="BI37" s="278" t="s">
        <v>550</v>
      </c>
      <c r="BJ37" s="276">
        <v>0</v>
      </c>
      <c r="BK37" s="276">
        <v>0</v>
      </c>
      <c r="BL37" s="276">
        <v>0</v>
      </c>
      <c r="BM37" s="276">
        <v>0</v>
      </c>
      <c r="BN37" s="276">
        <v>0</v>
      </c>
      <c r="BO37" s="276">
        <v>0</v>
      </c>
      <c r="BP37" s="276">
        <v>0</v>
      </c>
    </row>
    <row r="38" spans="1:68" x14ac:dyDescent="0.35">
      <c r="A38" s="277" t="s">
        <v>563</v>
      </c>
      <c r="B38" s="277" t="s">
        <v>562</v>
      </c>
      <c r="C38" s="283" t="s">
        <v>1031</v>
      </c>
      <c r="D38" s="277" t="s">
        <v>560</v>
      </c>
      <c r="F38" s="277" t="s">
        <v>1030</v>
      </c>
      <c r="K38" s="277" t="s">
        <v>689</v>
      </c>
      <c r="L38" s="277" t="s">
        <v>557</v>
      </c>
      <c r="N38" s="277" t="s">
        <v>690</v>
      </c>
      <c r="O38" s="277" t="s">
        <v>689</v>
      </c>
      <c r="P38" s="277" t="s">
        <v>557</v>
      </c>
      <c r="Q38" s="277" t="s">
        <v>556</v>
      </c>
      <c r="R38" s="277" t="s">
        <v>689</v>
      </c>
      <c r="S38" s="276">
        <v>0</v>
      </c>
      <c r="T38" s="276">
        <v>0</v>
      </c>
      <c r="U38" s="276">
        <v>0</v>
      </c>
      <c r="V38" s="276">
        <v>0</v>
      </c>
      <c r="W38" s="276">
        <v>0</v>
      </c>
      <c r="X38" s="276">
        <v>0</v>
      </c>
      <c r="Y38" s="276">
        <v>0</v>
      </c>
      <c r="Z38" s="276">
        <v>0</v>
      </c>
      <c r="AA38" s="276">
        <v>0</v>
      </c>
      <c r="AB38" s="276">
        <v>0</v>
      </c>
      <c r="AC38" s="276"/>
      <c r="AD38" s="276">
        <v>0</v>
      </c>
      <c r="AE38" s="276"/>
      <c r="AF38" s="276">
        <v>0</v>
      </c>
      <c r="AG38" s="276">
        <v>0</v>
      </c>
      <c r="AH38" s="283" t="s">
        <v>483</v>
      </c>
      <c r="AJ38" s="281" t="s">
        <v>553</v>
      </c>
      <c r="AK38" s="280" t="s">
        <v>552</v>
      </c>
      <c r="AL38" s="276">
        <v>1.2</v>
      </c>
      <c r="AM38" s="279">
        <v>0</v>
      </c>
      <c r="AN38" s="276">
        <v>0</v>
      </c>
      <c r="AO38" s="276">
        <v>1.2</v>
      </c>
      <c r="AP38" s="279">
        <v>0</v>
      </c>
      <c r="AQ38" s="276">
        <v>0</v>
      </c>
      <c r="AR38" s="276">
        <v>0</v>
      </c>
      <c r="AS38" s="271">
        <v>2</v>
      </c>
      <c r="AT38" s="276">
        <v>0</v>
      </c>
      <c r="AU38" s="279">
        <v>0</v>
      </c>
      <c r="AV38" s="276">
        <v>0</v>
      </c>
      <c r="AW38" s="276">
        <v>0</v>
      </c>
      <c r="AX38" s="279">
        <v>0</v>
      </c>
      <c r="AY38" s="276">
        <v>0</v>
      </c>
      <c r="AZ38" s="276">
        <v>0</v>
      </c>
      <c r="BA38" s="278" t="s">
        <v>551</v>
      </c>
      <c r="BB38" s="276">
        <v>0</v>
      </c>
      <c r="BC38" s="279">
        <v>0</v>
      </c>
      <c r="BD38" s="276">
        <v>0</v>
      </c>
      <c r="BE38" s="276">
        <v>0</v>
      </c>
      <c r="BF38" s="279">
        <v>0</v>
      </c>
      <c r="BG38" s="276">
        <v>0</v>
      </c>
      <c r="BH38" s="276">
        <v>0</v>
      </c>
      <c r="BI38" s="278" t="s">
        <v>550</v>
      </c>
      <c r="BJ38" s="276">
        <v>0</v>
      </c>
      <c r="BK38" s="276">
        <v>0</v>
      </c>
      <c r="BL38" s="276">
        <v>0</v>
      </c>
      <c r="BM38" s="276">
        <v>0</v>
      </c>
      <c r="BN38" s="276">
        <v>0</v>
      </c>
      <c r="BO38" s="276">
        <v>0</v>
      </c>
      <c r="BP38" s="276">
        <v>0</v>
      </c>
    </row>
    <row r="39" spans="1:68" x14ac:dyDescent="0.35">
      <c r="A39" s="277" t="s">
        <v>563</v>
      </c>
      <c r="B39" s="277" t="s">
        <v>562</v>
      </c>
      <c r="C39" s="283" t="s">
        <v>1029</v>
      </c>
      <c r="D39" s="277" t="s">
        <v>560</v>
      </c>
      <c r="F39" s="277" t="s">
        <v>1028</v>
      </c>
      <c r="K39" s="277" t="s">
        <v>689</v>
      </c>
      <c r="L39" s="277" t="s">
        <v>557</v>
      </c>
      <c r="N39" s="277" t="s">
        <v>690</v>
      </c>
      <c r="O39" s="277" t="s">
        <v>689</v>
      </c>
      <c r="P39" s="277" t="s">
        <v>557</v>
      </c>
      <c r="Q39" s="277" t="s">
        <v>556</v>
      </c>
      <c r="R39" s="277" t="s">
        <v>689</v>
      </c>
      <c r="S39" s="276">
        <v>0</v>
      </c>
      <c r="T39" s="276">
        <v>0</v>
      </c>
      <c r="U39" s="276">
        <v>0</v>
      </c>
      <c r="V39" s="276">
        <v>0</v>
      </c>
      <c r="W39" s="276">
        <v>0</v>
      </c>
      <c r="X39" s="276">
        <v>0</v>
      </c>
      <c r="Y39" s="276">
        <v>0</v>
      </c>
      <c r="Z39" s="276">
        <v>0</v>
      </c>
      <c r="AA39" s="276">
        <v>0</v>
      </c>
      <c r="AB39" s="276">
        <v>0</v>
      </c>
      <c r="AC39" s="276"/>
      <c r="AD39" s="276">
        <v>0</v>
      </c>
      <c r="AE39" s="276"/>
      <c r="AF39" s="276">
        <v>0</v>
      </c>
      <c r="AG39" s="276">
        <v>0</v>
      </c>
      <c r="AH39" s="283" t="s">
        <v>483</v>
      </c>
      <c r="AJ39" s="281" t="s">
        <v>553</v>
      </c>
      <c r="AK39" s="280" t="s">
        <v>552</v>
      </c>
      <c r="AL39" s="276">
        <v>0.9</v>
      </c>
      <c r="AM39" s="279">
        <v>0</v>
      </c>
      <c r="AN39" s="276">
        <v>0</v>
      </c>
      <c r="AO39" s="276">
        <v>0.9</v>
      </c>
      <c r="AP39" s="279">
        <v>0</v>
      </c>
      <c r="AQ39" s="276">
        <v>0</v>
      </c>
      <c r="AR39" s="276">
        <v>0</v>
      </c>
      <c r="AS39" s="271">
        <v>2</v>
      </c>
      <c r="AT39" s="276">
        <v>0</v>
      </c>
      <c r="AU39" s="279">
        <v>0</v>
      </c>
      <c r="AV39" s="276">
        <v>0</v>
      </c>
      <c r="AW39" s="276">
        <v>0</v>
      </c>
      <c r="AX39" s="279">
        <v>0</v>
      </c>
      <c r="AY39" s="276">
        <v>0</v>
      </c>
      <c r="AZ39" s="276">
        <v>0</v>
      </c>
      <c r="BA39" s="278" t="s">
        <v>551</v>
      </c>
      <c r="BB39" s="276">
        <v>0</v>
      </c>
      <c r="BC39" s="279">
        <v>0</v>
      </c>
      <c r="BD39" s="276">
        <v>0</v>
      </c>
      <c r="BE39" s="276">
        <v>0</v>
      </c>
      <c r="BF39" s="279">
        <v>0</v>
      </c>
      <c r="BG39" s="276">
        <v>0</v>
      </c>
      <c r="BH39" s="276">
        <v>0</v>
      </c>
      <c r="BI39" s="278" t="s">
        <v>550</v>
      </c>
      <c r="BJ39" s="276">
        <v>0</v>
      </c>
      <c r="BK39" s="276">
        <v>0</v>
      </c>
      <c r="BL39" s="276">
        <v>0</v>
      </c>
      <c r="BM39" s="276">
        <v>0</v>
      </c>
      <c r="BN39" s="276">
        <v>0</v>
      </c>
      <c r="BO39" s="276">
        <v>0</v>
      </c>
      <c r="BP39" s="276">
        <v>0</v>
      </c>
    </row>
    <row r="40" spans="1:68" x14ac:dyDescent="0.35">
      <c r="A40" s="277" t="s">
        <v>563</v>
      </c>
      <c r="B40" s="277" t="s">
        <v>562</v>
      </c>
      <c r="C40" s="283" t="s">
        <v>1027</v>
      </c>
      <c r="D40" s="277" t="s">
        <v>560</v>
      </c>
      <c r="F40" s="277" t="s">
        <v>1026</v>
      </c>
      <c r="K40" s="277" t="s">
        <v>883</v>
      </c>
      <c r="L40" s="277" t="s">
        <v>557</v>
      </c>
      <c r="N40" s="277" t="s">
        <v>884</v>
      </c>
      <c r="O40" s="277" t="s">
        <v>883</v>
      </c>
      <c r="P40" s="277" t="s">
        <v>557</v>
      </c>
      <c r="Q40" s="277" t="s">
        <v>556</v>
      </c>
      <c r="R40" s="277" t="s">
        <v>883</v>
      </c>
      <c r="S40" s="276">
        <v>270</v>
      </c>
      <c r="T40" s="276">
        <v>0</v>
      </c>
      <c r="U40" s="276">
        <v>0</v>
      </c>
      <c r="V40" s="276">
        <v>0</v>
      </c>
      <c r="W40" s="276">
        <v>0</v>
      </c>
      <c r="X40" s="276">
        <v>0</v>
      </c>
      <c r="Y40" s="276">
        <v>0</v>
      </c>
      <c r="Z40" s="276">
        <v>0</v>
      </c>
      <c r="AA40" s="276">
        <v>0</v>
      </c>
      <c r="AB40" s="276">
        <v>0</v>
      </c>
      <c r="AC40" s="276"/>
      <c r="AD40" s="276">
        <v>0</v>
      </c>
      <c r="AE40" s="276"/>
      <c r="AF40" s="276">
        <v>0</v>
      </c>
      <c r="AG40" s="276">
        <v>0</v>
      </c>
      <c r="AH40" s="283" t="s">
        <v>483</v>
      </c>
      <c r="AJ40" s="281" t="s">
        <v>553</v>
      </c>
      <c r="AK40" s="280" t="s">
        <v>552</v>
      </c>
      <c r="AL40" s="276">
        <v>0</v>
      </c>
      <c r="AM40" s="279">
        <v>0</v>
      </c>
      <c r="AN40" s="276">
        <v>0</v>
      </c>
      <c r="AO40" s="276">
        <v>0</v>
      </c>
      <c r="AP40" s="279">
        <v>0</v>
      </c>
      <c r="AQ40" s="276">
        <v>0</v>
      </c>
      <c r="AR40" s="276">
        <v>0</v>
      </c>
      <c r="AS40" s="271">
        <v>2</v>
      </c>
      <c r="AT40" s="276">
        <v>0</v>
      </c>
      <c r="AU40" s="279">
        <v>0</v>
      </c>
      <c r="AV40" s="276">
        <v>0</v>
      </c>
      <c r="AW40" s="276">
        <v>0</v>
      </c>
      <c r="AX40" s="279">
        <v>0</v>
      </c>
      <c r="AY40" s="276">
        <v>0</v>
      </c>
      <c r="AZ40" s="276">
        <v>0</v>
      </c>
      <c r="BA40" s="278" t="s">
        <v>551</v>
      </c>
      <c r="BB40" s="276">
        <v>0</v>
      </c>
      <c r="BC40" s="279">
        <v>0</v>
      </c>
      <c r="BD40" s="276">
        <v>0</v>
      </c>
      <c r="BE40" s="276">
        <v>0</v>
      </c>
      <c r="BF40" s="279">
        <v>0</v>
      </c>
      <c r="BG40" s="276">
        <v>0</v>
      </c>
      <c r="BH40" s="276">
        <v>0</v>
      </c>
      <c r="BI40" s="278" t="s">
        <v>550</v>
      </c>
      <c r="BJ40" s="276">
        <v>0</v>
      </c>
      <c r="BK40" s="276">
        <v>0</v>
      </c>
      <c r="BL40" s="276">
        <v>0</v>
      </c>
      <c r="BM40" s="276">
        <v>0</v>
      </c>
      <c r="BN40" s="276">
        <v>0</v>
      </c>
      <c r="BO40" s="276">
        <v>0</v>
      </c>
      <c r="BP40" s="276">
        <v>0</v>
      </c>
    </row>
    <row r="41" spans="1:68" x14ac:dyDescent="0.35">
      <c r="A41" s="277" t="s">
        <v>563</v>
      </c>
      <c r="B41" s="277" t="s">
        <v>562</v>
      </c>
      <c r="C41" s="283" t="s">
        <v>1019</v>
      </c>
      <c r="D41" s="277" t="s">
        <v>560</v>
      </c>
      <c r="F41" s="277" t="s">
        <v>1025</v>
      </c>
      <c r="K41" s="277" t="s">
        <v>883</v>
      </c>
      <c r="L41" s="277" t="s">
        <v>557</v>
      </c>
      <c r="N41" s="277" t="s">
        <v>884</v>
      </c>
      <c r="O41" s="277" t="s">
        <v>883</v>
      </c>
      <c r="P41" s="277" t="s">
        <v>557</v>
      </c>
      <c r="Q41" s="277" t="s">
        <v>556</v>
      </c>
      <c r="R41" s="277" t="s">
        <v>883</v>
      </c>
      <c r="S41" s="276">
        <v>0</v>
      </c>
      <c r="T41" s="276">
        <v>0</v>
      </c>
      <c r="U41" s="276">
        <v>0</v>
      </c>
      <c r="V41" s="276">
        <v>0</v>
      </c>
      <c r="W41" s="276">
        <v>0</v>
      </c>
      <c r="X41" s="276">
        <v>0</v>
      </c>
      <c r="Y41" s="276">
        <v>0</v>
      </c>
      <c r="Z41" s="276">
        <v>0</v>
      </c>
      <c r="AA41" s="276">
        <v>0</v>
      </c>
      <c r="AB41" s="276">
        <v>0</v>
      </c>
      <c r="AC41" s="276"/>
      <c r="AD41" s="276">
        <v>0</v>
      </c>
      <c r="AE41" s="276"/>
      <c r="AF41" s="276">
        <v>0</v>
      </c>
      <c r="AG41" s="276">
        <v>0</v>
      </c>
      <c r="AH41" s="283" t="s">
        <v>483</v>
      </c>
      <c r="AJ41" s="281" t="s">
        <v>553</v>
      </c>
      <c r="AK41" s="280" t="s">
        <v>552</v>
      </c>
      <c r="AL41" s="276">
        <v>0.85</v>
      </c>
      <c r="AM41" s="279">
        <v>0</v>
      </c>
      <c r="AN41" s="276">
        <v>0</v>
      </c>
      <c r="AO41" s="276">
        <v>0.85</v>
      </c>
      <c r="AP41" s="279">
        <v>0</v>
      </c>
      <c r="AQ41" s="276">
        <v>0</v>
      </c>
      <c r="AR41" s="276">
        <v>0</v>
      </c>
      <c r="AS41" s="271">
        <v>2</v>
      </c>
      <c r="AT41" s="276">
        <v>0</v>
      </c>
      <c r="AU41" s="279">
        <v>0</v>
      </c>
      <c r="AV41" s="276">
        <v>0</v>
      </c>
      <c r="AW41" s="276">
        <v>0</v>
      </c>
      <c r="AX41" s="279">
        <v>0</v>
      </c>
      <c r="AY41" s="276">
        <v>0</v>
      </c>
      <c r="AZ41" s="276">
        <v>0</v>
      </c>
      <c r="BA41" s="278" t="s">
        <v>551</v>
      </c>
      <c r="BB41" s="276">
        <v>0</v>
      </c>
      <c r="BC41" s="279">
        <v>0</v>
      </c>
      <c r="BD41" s="276">
        <v>0</v>
      </c>
      <c r="BE41" s="276">
        <v>0</v>
      </c>
      <c r="BF41" s="279">
        <v>0</v>
      </c>
      <c r="BG41" s="276">
        <v>0</v>
      </c>
      <c r="BH41" s="276">
        <v>0</v>
      </c>
      <c r="BI41" s="278" t="s">
        <v>550</v>
      </c>
      <c r="BJ41" s="276">
        <v>0</v>
      </c>
      <c r="BK41" s="276">
        <v>0</v>
      </c>
      <c r="BL41" s="276">
        <v>0</v>
      </c>
      <c r="BM41" s="276">
        <v>0</v>
      </c>
      <c r="BN41" s="276">
        <v>0</v>
      </c>
      <c r="BO41" s="276">
        <v>0</v>
      </c>
      <c r="BP41" s="276">
        <v>0</v>
      </c>
    </row>
    <row r="42" spans="1:68" x14ac:dyDescent="0.35">
      <c r="A42" s="277" t="s">
        <v>563</v>
      </c>
      <c r="B42" s="277" t="s">
        <v>562</v>
      </c>
      <c r="C42" s="283" t="s">
        <v>1014</v>
      </c>
      <c r="D42" s="277" t="s">
        <v>560</v>
      </c>
      <c r="F42" s="277" t="s">
        <v>1024</v>
      </c>
      <c r="K42" s="277" t="s">
        <v>883</v>
      </c>
      <c r="L42" s="277" t="s">
        <v>557</v>
      </c>
      <c r="N42" s="277" t="s">
        <v>884</v>
      </c>
      <c r="O42" s="277" t="s">
        <v>883</v>
      </c>
      <c r="P42" s="277" t="s">
        <v>557</v>
      </c>
      <c r="Q42" s="277" t="s">
        <v>556</v>
      </c>
      <c r="R42" s="277" t="s">
        <v>883</v>
      </c>
      <c r="S42" s="276">
        <v>0</v>
      </c>
      <c r="T42" s="276">
        <v>0</v>
      </c>
      <c r="U42" s="276">
        <v>0</v>
      </c>
      <c r="V42" s="276">
        <v>0</v>
      </c>
      <c r="W42" s="276">
        <v>0</v>
      </c>
      <c r="X42" s="276">
        <v>0</v>
      </c>
      <c r="Y42" s="276">
        <v>0</v>
      </c>
      <c r="Z42" s="276">
        <v>0</v>
      </c>
      <c r="AA42" s="276">
        <v>0</v>
      </c>
      <c r="AB42" s="276">
        <v>0</v>
      </c>
      <c r="AC42" s="276"/>
      <c r="AD42" s="276">
        <v>0</v>
      </c>
      <c r="AE42" s="276"/>
      <c r="AF42" s="276">
        <v>0</v>
      </c>
      <c r="AG42" s="276">
        <v>0</v>
      </c>
      <c r="AH42" s="283" t="s">
        <v>483</v>
      </c>
      <c r="AJ42" s="281" t="s">
        <v>553</v>
      </c>
      <c r="AK42" s="280" t="s">
        <v>552</v>
      </c>
      <c r="AL42" s="276">
        <v>0.9</v>
      </c>
      <c r="AM42" s="279">
        <v>0</v>
      </c>
      <c r="AN42" s="276">
        <v>0</v>
      </c>
      <c r="AO42" s="276">
        <v>0.9</v>
      </c>
      <c r="AP42" s="279">
        <v>0</v>
      </c>
      <c r="AQ42" s="276">
        <v>0</v>
      </c>
      <c r="AR42" s="276">
        <v>0</v>
      </c>
      <c r="AS42" s="271">
        <v>2</v>
      </c>
      <c r="AT42" s="276">
        <v>0</v>
      </c>
      <c r="AU42" s="279">
        <v>0</v>
      </c>
      <c r="AV42" s="276">
        <v>0</v>
      </c>
      <c r="AW42" s="276">
        <v>0</v>
      </c>
      <c r="AX42" s="279">
        <v>0</v>
      </c>
      <c r="AY42" s="276">
        <v>0</v>
      </c>
      <c r="AZ42" s="276">
        <v>0</v>
      </c>
      <c r="BA42" s="278" t="s">
        <v>551</v>
      </c>
      <c r="BB42" s="276">
        <v>0</v>
      </c>
      <c r="BC42" s="279">
        <v>0</v>
      </c>
      <c r="BD42" s="276">
        <v>0</v>
      </c>
      <c r="BE42" s="276">
        <v>0</v>
      </c>
      <c r="BF42" s="279">
        <v>0</v>
      </c>
      <c r="BG42" s="276">
        <v>0</v>
      </c>
      <c r="BH42" s="276">
        <v>0</v>
      </c>
      <c r="BI42" s="278" t="s">
        <v>550</v>
      </c>
      <c r="BJ42" s="276">
        <v>0</v>
      </c>
      <c r="BK42" s="276">
        <v>0</v>
      </c>
      <c r="BL42" s="276">
        <v>0</v>
      </c>
      <c r="BM42" s="276">
        <v>0</v>
      </c>
      <c r="BN42" s="276">
        <v>0</v>
      </c>
      <c r="BO42" s="276">
        <v>0</v>
      </c>
      <c r="BP42" s="276">
        <v>0</v>
      </c>
    </row>
    <row r="43" spans="1:68" x14ac:dyDescent="0.35">
      <c r="A43" s="277" t="s">
        <v>563</v>
      </c>
      <c r="B43" s="277" t="s">
        <v>562</v>
      </c>
      <c r="C43" s="283" t="s">
        <v>1023</v>
      </c>
      <c r="D43" s="277" t="s">
        <v>560</v>
      </c>
      <c r="F43" s="277" t="s">
        <v>1022</v>
      </c>
      <c r="K43" s="277" t="s">
        <v>555</v>
      </c>
      <c r="L43" s="277" t="s">
        <v>557</v>
      </c>
      <c r="N43" s="277" t="s">
        <v>558</v>
      </c>
      <c r="O43" s="277" t="s">
        <v>555</v>
      </c>
      <c r="P43" s="277" t="s">
        <v>557</v>
      </c>
      <c r="Q43" s="277" t="s">
        <v>556</v>
      </c>
      <c r="R43" s="277" t="s">
        <v>555</v>
      </c>
      <c r="S43" s="276">
        <v>270</v>
      </c>
      <c r="T43" s="276">
        <v>0</v>
      </c>
      <c r="U43" s="276">
        <v>0</v>
      </c>
      <c r="V43" s="276">
        <v>0</v>
      </c>
      <c r="W43" s="276">
        <v>0</v>
      </c>
      <c r="X43" s="276">
        <v>0</v>
      </c>
      <c r="Y43" s="276">
        <v>0</v>
      </c>
      <c r="Z43" s="276">
        <v>0</v>
      </c>
      <c r="AA43" s="276">
        <v>0</v>
      </c>
      <c r="AB43" s="276">
        <v>0</v>
      </c>
      <c r="AC43" s="276"/>
      <c r="AD43" s="276">
        <v>0</v>
      </c>
      <c r="AE43" s="276"/>
      <c r="AF43" s="276">
        <v>0</v>
      </c>
      <c r="AG43" s="276">
        <v>0</v>
      </c>
      <c r="AH43" s="283" t="s">
        <v>483</v>
      </c>
      <c r="AJ43" s="281" t="s">
        <v>553</v>
      </c>
      <c r="AK43" s="280" t="s">
        <v>552</v>
      </c>
      <c r="AL43" s="276">
        <v>0</v>
      </c>
      <c r="AM43" s="279">
        <v>0</v>
      </c>
      <c r="AN43" s="276">
        <v>0</v>
      </c>
      <c r="AO43" s="276">
        <v>0</v>
      </c>
      <c r="AP43" s="279">
        <v>0</v>
      </c>
      <c r="AQ43" s="276">
        <v>0</v>
      </c>
      <c r="AR43" s="276">
        <v>0</v>
      </c>
      <c r="AS43" s="271">
        <v>2</v>
      </c>
      <c r="AT43" s="276">
        <v>0</v>
      </c>
      <c r="AU43" s="279">
        <v>0</v>
      </c>
      <c r="AV43" s="276">
        <v>0</v>
      </c>
      <c r="AW43" s="276">
        <v>0</v>
      </c>
      <c r="AX43" s="279">
        <v>0</v>
      </c>
      <c r="AY43" s="276">
        <v>0</v>
      </c>
      <c r="AZ43" s="276">
        <v>0</v>
      </c>
      <c r="BA43" s="278" t="s">
        <v>551</v>
      </c>
      <c r="BB43" s="276">
        <v>0</v>
      </c>
      <c r="BC43" s="279">
        <v>0</v>
      </c>
      <c r="BD43" s="276">
        <v>0</v>
      </c>
      <c r="BE43" s="276">
        <v>0</v>
      </c>
      <c r="BF43" s="279">
        <v>0</v>
      </c>
      <c r="BG43" s="276">
        <v>0</v>
      </c>
      <c r="BH43" s="276">
        <v>0</v>
      </c>
      <c r="BI43" s="278" t="s">
        <v>550</v>
      </c>
      <c r="BJ43" s="276">
        <v>0</v>
      </c>
      <c r="BK43" s="276">
        <v>0</v>
      </c>
      <c r="BL43" s="276">
        <v>0</v>
      </c>
      <c r="BM43" s="276">
        <v>0</v>
      </c>
      <c r="BN43" s="276">
        <v>0</v>
      </c>
      <c r="BO43" s="276">
        <v>0</v>
      </c>
      <c r="BP43" s="276">
        <v>0</v>
      </c>
    </row>
    <row r="44" spans="1:68" x14ac:dyDescent="0.35">
      <c r="A44" s="277" t="s">
        <v>563</v>
      </c>
      <c r="B44" s="277" t="s">
        <v>562</v>
      </c>
      <c r="C44" s="283" t="s">
        <v>1021</v>
      </c>
      <c r="D44" s="277" t="s">
        <v>560</v>
      </c>
      <c r="F44" s="277" t="s">
        <v>1020</v>
      </c>
      <c r="K44" s="277" t="s">
        <v>883</v>
      </c>
      <c r="L44" s="277" t="s">
        <v>557</v>
      </c>
      <c r="N44" s="277" t="s">
        <v>884</v>
      </c>
      <c r="O44" s="277" t="s">
        <v>883</v>
      </c>
      <c r="P44" s="277" t="s">
        <v>557</v>
      </c>
      <c r="Q44" s="277" t="s">
        <v>556</v>
      </c>
      <c r="R44" s="277" t="s">
        <v>883</v>
      </c>
      <c r="S44" s="276">
        <v>0</v>
      </c>
      <c r="T44" s="276">
        <v>0</v>
      </c>
      <c r="U44" s="276">
        <v>0</v>
      </c>
      <c r="V44" s="276">
        <v>0</v>
      </c>
      <c r="W44" s="276">
        <v>0</v>
      </c>
      <c r="X44" s="276">
        <v>0</v>
      </c>
      <c r="Y44" s="276">
        <v>0</v>
      </c>
      <c r="Z44" s="276">
        <v>0</v>
      </c>
      <c r="AA44" s="276">
        <v>0</v>
      </c>
      <c r="AB44" s="276">
        <v>0</v>
      </c>
      <c r="AC44" s="276"/>
      <c r="AD44" s="276">
        <v>0</v>
      </c>
      <c r="AE44" s="276"/>
      <c r="AF44" s="276">
        <v>0</v>
      </c>
      <c r="AG44" s="276">
        <v>0</v>
      </c>
      <c r="AH44" s="283" t="s">
        <v>86</v>
      </c>
      <c r="AI44" s="282" t="s">
        <v>1019</v>
      </c>
      <c r="AJ44" s="281" t="s">
        <v>553</v>
      </c>
      <c r="AK44" s="280" t="s">
        <v>552</v>
      </c>
      <c r="AL44" s="276">
        <v>0.94</v>
      </c>
      <c r="AM44" s="279">
        <v>0</v>
      </c>
      <c r="AN44" s="276">
        <v>0</v>
      </c>
      <c r="AO44" s="276">
        <v>0.94</v>
      </c>
      <c r="AP44" s="279">
        <v>0</v>
      </c>
      <c r="AQ44" s="276">
        <v>0</v>
      </c>
      <c r="AR44" s="276">
        <v>0</v>
      </c>
      <c r="AS44" s="271">
        <v>2</v>
      </c>
      <c r="AT44" s="276">
        <v>0</v>
      </c>
      <c r="AU44" s="279">
        <v>0</v>
      </c>
      <c r="AV44" s="276">
        <v>0</v>
      </c>
      <c r="AW44" s="276">
        <v>0</v>
      </c>
      <c r="AX44" s="279">
        <v>0</v>
      </c>
      <c r="AY44" s="276">
        <v>0</v>
      </c>
      <c r="AZ44" s="276">
        <v>0</v>
      </c>
      <c r="BA44" s="278" t="s">
        <v>551</v>
      </c>
      <c r="BB44" s="276">
        <v>0</v>
      </c>
      <c r="BC44" s="279">
        <v>0</v>
      </c>
      <c r="BD44" s="276">
        <v>0</v>
      </c>
      <c r="BE44" s="276">
        <v>0</v>
      </c>
      <c r="BF44" s="279">
        <v>0</v>
      </c>
      <c r="BG44" s="276">
        <v>0</v>
      </c>
      <c r="BH44" s="276">
        <v>0</v>
      </c>
      <c r="BI44" s="278" t="s">
        <v>550</v>
      </c>
      <c r="BJ44" s="276">
        <v>0</v>
      </c>
      <c r="BK44" s="276">
        <v>0</v>
      </c>
      <c r="BL44" s="276">
        <v>0</v>
      </c>
      <c r="BM44" s="276">
        <v>0</v>
      </c>
      <c r="BN44" s="276">
        <v>0</v>
      </c>
      <c r="BO44" s="276">
        <v>0</v>
      </c>
      <c r="BP44" s="276">
        <v>0</v>
      </c>
    </row>
    <row r="45" spans="1:68" x14ac:dyDescent="0.35">
      <c r="A45" s="277" t="s">
        <v>563</v>
      </c>
      <c r="B45" s="277" t="s">
        <v>562</v>
      </c>
      <c r="C45" s="283" t="s">
        <v>1018</v>
      </c>
      <c r="D45" s="277" t="s">
        <v>560</v>
      </c>
      <c r="F45" s="277" t="s">
        <v>1017</v>
      </c>
      <c r="K45" s="277" t="s">
        <v>883</v>
      </c>
      <c r="L45" s="277" t="s">
        <v>557</v>
      </c>
      <c r="N45" s="277" t="s">
        <v>884</v>
      </c>
      <c r="O45" s="277" t="s">
        <v>883</v>
      </c>
      <c r="P45" s="277" t="s">
        <v>557</v>
      </c>
      <c r="Q45" s="277" t="s">
        <v>556</v>
      </c>
      <c r="R45" s="277" t="s">
        <v>883</v>
      </c>
      <c r="S45" s="276">
        <v>0</v>
      </c>
      <c r="T45" s="276">
        <v>0</v>
      </c>
      <c r="U45" s="276">
        <v>0</v>
      </c>
      <c r="V45" s="276">
        <v>0</v>
      </c>
      <c r="W45" s="276">
        <v>0</v>
      </c>
      <c r="X45" s="276">
        <v>0</v>
      </c>
      <c r="Y45" s="276">
        <v>0</v>
      </c>
      <c r="Z45" s="276">
        <v>0</v>
      </c>
      <c r="AA45" s="276">
        <v>0</v>
      </c>
      <c r="AB45" s="276">
        <v>0</v>
      </c>
      <c r="AC45" s="276"/>
      <c r="AD45" s="276">
        <v>0</v>
      </c>
      <c r="AE45" s="276"/>
      <c r="AF45" s="276">
        <v>0</v>
      </c>
      <c r="AG45" s="276">
        <v>0</v>
      </c>
      <c r="AH45" s="283" t="s">
        <v>86</v>
      </c>
      <c r="AI45" s="282" t="s">
        <v>1013</v>
      </c>
      <c r="AJ45" s="281" t="s">
        <v>553</v>
      </c>
      <c r="AK45" s="280" t="s">
        <v>552</v>
      </c>
      <c r="AL45" s="276">
        <v>2.7</v>
      </c>
      <c r="AM45" s="279">
        <v>0</v>
      </c>
      <c r="AN45" s="276">
        <v>0</v>
      </c>
      <c r="AO45" s="276">
        <v>2.7</v>
      </c>
      <c r="AP45" s="279">
        <v>0</v>
      </c>
      <c r="AQ45" s="276">
        <v>0</v>
      </c>
      <c r="AR45" s="276">
        <v>0</v>
      </c>
      <c r="AS45" s="271">
        <v>2</v>
      </c>
      <c r="AT45" s="276">
        <v>0</v>
      </c>
      <c r="AU45" s="279">
        <v>0</v>
      </c>
      <c r="AV45" s="276">
        <v>0</v>
      </c>
      <c r="AW45" s="276">
        <v>0</v>
      </c>
      <c r="AX45" s="279">
        <v>0</v>
      </c>
      <c r="AY45" s="276">
        <v>0</v>
      </c>
      <c r="AZ45" s="276">
        <v>0</v>
      </c>
      <c r="BA45" s="278" t="s">
        <v>551</v>
      </c>
      <c r="BB45" s="276">
        <v>0</v>
      </c>
      <c r="BC45" s="279">
        <v>0</v>
      </c>
      <c r="BD45" s="276">
        <v>0</v>
      </c>
      <c r="BE45" s="276">
        <v>0</v>
      </c>
      <c r="BF45" s="279">
        <v>0</v>
      </c>
      <c r="BG45" s="276">
        <v>0</v>
      </c>
      <c r="BH45" s="276">
        <v>0</v>
      </c>
      <c r="BI45" s="278" t="s">
        <v>550</v>
      </c>
      <c r="BJ45" s="276">
        <v>0</v>
      </c>
      <c r="BK45" s="276">
        <v>0</v>
      </c>
      <c r="BL45" s="276">
        <v>0</v>
      </c>
      <c r="BM45" s="276">
        <v>0</v>
      </c>
      <c r="BN45" s="276">
        <v>0</v>
      </c>
      <c r="BO45" s="276">
        <v>0</v>
      </c>
      <c r="BP45" s="276">
        <v>0</v>
      </c>
    </row>
    <row r="46" spans="1:68" x14ac:dyDescent="0.35">
      <c r="A46" s="277" t="s">
        <v>563</v>
      </c>
      <c r="B46" s="277" t="s">
        <v>562</v>
      </c>
      <c r="C46" s="283" t="s">
        <v>1016</v>
      </c>
      <c r="D46" s="277" t="s">
        <v>560</v>
      </c>
      <c r="F46" s="277" t="s">
        <v>1015</v>
      </c>
      <c r="K46" s="277" t="s">
        <v>883</v>
      </c>
      <c r="L46" s="277" t="s">
        <v>557</v>
      </c>
      <c r="N46" s="277" t="s">
        <v>884</v>
      </c>
      <c r="O46" s="277" t="s">
        <v>883</v>
      </c>
      <c r="P46" s="277" t="s">
        <v>557</v>
      </c>
      <c r="Q46" s="277" t="s">
        <v>556</v>
      </c>
      <c r="R46" s="277" t="s">
        <v>883</v>
      </c>
      <c r="S46" s="276">
        <v>0</v>
      </c>
      <c r="T46" s="276">
        <v>0</v>
      </c>
      <c r="U46" s="276">
        <v>0</v>
      </c>
      <c r="V46" s="276">
        <v>0</v>
      </c>
      <c r="W46" s="276">
        <v>0</v>
      </c>
      <c r="X46" s="276">
        <v>0</v>
      </c>
      <c r="Y46" s="276">
        <v>0</v>
      </c>
      <c r="Z46" s="276">
        <v>0</v>
      </c>
      <c r="AA46" s="276">
        <v>0</v>
      </c>
      <c r="AB46" s="276">
        <v>0</v>
      </c>
      <c r="AC46" s="276"/>
      <c r="AD46" s="276">
        <v>0</v>
      </c>
      <c r="AE46" s="276"/>
      <c r="AF46" s="276">
        <v>0</v>
      </c>
      <c r="AG46" s="276">
        <v>0</v>
      </c>
      <c r="AH46" s="283" t="s">
        <v>86</v>
      </c>
      <c r="AI46" s="282" t="s">
        <v>1014</v>
      </c>
      <c r="AJ46" s="281" t="s">
        <v>553</v>
      </c>
      <c r="AK46" s="280" t="s">
        <v>552</v>
      </c>
      <c r="AL46" s="276">
        <v>1.4</v>
      </c>
      <c r="AM46" s="279">
        <v>0</v>
      </c>
      <c r="AN46" s="276">
        <v>0</v>
      </c>
      <c r="AO46" s="276">
        <v>1.4</v>
      </c>
      <c r="AP46" s="279">
        <v>0</v>
      </c>
      <c r="AQ46" s="276">
        <v>0</v>
      </c>
      <c r="AR46" s="276">
        <v>0</v>
      </c>
      <c r="AS46" s="271">
        <v>2</v>
      </c>
      <c r="AT46" s="276">
        <v>0</v>
      </c>
      <c r="AU46" s="279">
        <v>0</v>
      </c>
      <c r="AV46" s="276">
        <v>0</v>
      </c>
      <c r="AW46" s="276">
        <v>0</v>
      </c>
      <c r="AX46" s="279">
        <v>0</v>
      </c>
      <c r="AY46" s="276">
        <v>0</v>
      </c>
      <c r="AZ46" s="276">
        <v>0</v>
      </c>
      <c r="BA46" s="278" t="s">
        <v>551</v>
      </c>
      <c r="BB46" s="276">
        <v>0</v>
      </c>
      <c r="BC46" s="279">
        <v>0</v>
      </c>
      <c r="BD46" s="276">
        <v>0</v>
      </c>
      <c r="BE46" s="276">
        <v>0</v>
      </c>
      <c r="BF46" s="279">
        <v>0</v>
      </c>
      <c r="BG46" s="276">
        <v>0</v>
      </c>
      <c r="BH46" s="276">
        <v>0</v>
      </c>
      <c r="BI46" s="278" t="s">
        <v>550</v>
      </c>
      <c r="BJ46" s="276">
        <v>0</v>
      </c>
      <c r="BK46" s="276">
        <v>0</v>
      </c>
      <c r="BL46" s="276">
        <v>0</v>
      </c>
      <c r="BM46" s="276">
        <v>0</v>
      </c>
      <c r="BN46" s="276">
        <v>0</v>
      </c>
      <c r="BO46" s="276">
        <v>0</v>
      </c>
      <c r="BP46" s="276">
        <v>0</v>
      </c>
    </row>
    <row r="47" spans="1:68" x14ac:dyDescent="0.35">
      <c r="A47" s="277" t="s">
        <v>563</v>
      </c>
      <c r="B47" s="277" t="s">
        <v>562</v>
      </c>
      <c r="C47" s="283" t="s">
        <v>1013</v>
      </c>
      <c r="D47" s="277" t="s">
        <v>560</v>
      </c>
      <c r="F47" s="277" t="s">
        <v>1012</v>
      </c>
      <c r="K47" s="277" t="s">
        <v>883</v>
      </c>
      <c r="L47" s="277" t="s">
        <v>557</v>
      </c>
      <c r="N47" s="277" t="s">
        <v>884</v>
      </c>
      <c r="O47" s="277" t="s">
        <v>883</v>
      </c>
      <c r="P47" s="277" t="s">
        <v>557</v>
      </c>
      <c r="Q47" s="277" t="s">
        <v>556</v>
      </c>
      <c r="R47" s="277" t="s">
        <v>883</v>
      </c>
      <c r="S47" s="276">
        <v>0</v>
      </c>
      <c r="T47" s="276">
        <v>0</v>
      </c>
      <c r="U47" s="276">
        <v>0</v>
      </c>
      <c r="V47" s="276">
        <v>0</v>
      </c>
      <c r="W47" s="276">
        <v>0</v>
      </c>
      <c r="X47" s="276">
        <v>0</v>
      </c>
      <c r="Y47" s="276">
        <v>0</v>
      </c>
      <c r="Z47" s="276">
        <v>0</v>
      </c>
      <c r="AA47" s="276">
        <v>0</v>
      </c>
      <c r="AB47" s="276">
        <v>0</v>
      </c>
      <c r="AC47" s="276"/>
      <c r="AD47" s="276">
        <v>0</v>
      </c>
      <c r="AE47" s="276"/>
      <c r="AF47" s="276">
        <v>0</v>
      </c>
      <c r="AG47" s="276">
        <v>0</v>
      </c>
      <c r="AH47" s="283" t="s">
        <v>483</v>
      </c>
      <c r="AJ47" s="281" t="s">
        <v>553</v>
      </c>
      <c r="AK47" s="280" t="s">
        <v>552</v>
      </c>
      <c r="AL47" s="276">
        <v>1.2</v>
      </c>
      <c r="AM47" s="279">
        <v>0</v>
      </c>
      <c r="AN47" s="276">
        <v>0</v>
      </c>
      <c r="AO47" s="276">
        <v>1.2</v>
      </c>
      <c r="AP47" s="279">
        <v>0</v>
      </c>
      <c r="AQ47" s="276">
        <v>0</v>
      </c>
      <c r="AR47" s="276">
        <v>0</v>
      </c>
      <c r="AS47" s="271">
        <v>2</v>
      </c>
      <c r="AT47" s="276">
        <v>0</v>
      </c>
      <c r="AU47" s="279">
        <v>0</v>
      </c>
      <c r="AV47" s="276">
        <v>0</v>
      </c>
      <c r="AW47" s="276">
        <v>0</v>
      </c>
      <c r="AX47" s="279">
        <v>0</v>
      </c>
      <c r="AY47" s="276">
        <v>0</v>
      </c>
      <c r="AZ47" s="276">
        <v>0</v>
      </c>
      <c r="BA47" s="278" t="s">
        <v>551</v>
      </c>
      <c r="BB47" s="276">
        <v>0</v>
      </c>
      <c r="BC47" s="279">
        <v>0</v>
      </c>
      <c r="BD47" s="276">
        <v>0</v>
      </c>
      <c r="BE47" s="276">
        <v>0</v>
      </c>
      <c r="BF47" s="279">
        <v>0</v>
      </c>
      <c r="BG47" s="276">
        <v>0</v>
      </c>
      <c r="BH47" s="276">
        <v>0</v>
      </c>
      <c r="BI47" s="278" t="s">
        <v>550</v>
      </c>
      <c r="BJ47" s="276">
        <v>0</v>
      </c>
      <c r="BK47" s="276">
        <v>0</v>
      </c>
      <c r="BL47" s="276">
        <v>0</v>
      </c>
      <c r="BM47" s="276">
        <v>0</v>
      </c>
      <c r="BN47" s="276">
        <v>0</v>
      </c>
      <c r="BO47" s="276">
        <v>0</v>
      </c>
      <c r="BP47" s="276">
        <v>0</v>
      </c>
    </row>
    <row r="48" spans="1:68" x14ac:dyDescent="0.35">
      <c r="A48" s="277" t="s">
        <v>563</v>
      </c>
      <c r="B48" s="277" t="s">
        <v>562</v>
      </c>
      <c r="C48" s="283" t="s">
        <v>1011</v>
      </c>
      <c r="D48" s="277" t="s">
        <v>560</v>
      </c>
      <c r="F48" s="277" t="s">
        <v>1010</v>
      </c>
      <c r="K48" s="277" t="s">
        <v>555</v>
      </c>
      <c r="L48" s="277" t="s">
        <v>557</v>
      </c>
      <c r="N48" s="277" t="s">
        <v>558</v>
      </c>
      <c r="O48" s="277" t="s">
        <v>555</v>
      </c>
      <c r="P48" s="277" t="s">
        <v>557</v>
      </c>
      <c r="Q48" s="277" t="s">
        <v>556</v>
      </c>
      <c r="R48" s="277" t="s">
        <v>555</v>
      </c>
      <c r="S48" s="276">
        <v>0</v>
      </c>
      <c r="T48" s="276">
        <v>0</v>
      </c>
      <c r="U48" s="276">
        <v>0</v>
      </c>
      <c r="V48" s="276">
        <v>0</v>
      </c>
      <c r="W48" s="276">
        <v>0</v>
      </c>
      <c r="X48" s="276">
        <v>0</v>
      </c>
      <c r="Y48" s="276">
        <v>0</v>
      </c>
      <c r="Z48" s="276">
        <v>0</v>
      </c>
      <c r="AA48" s="276">
        <v>0</v>
      </c>
      <c r="AB48" s="276">
        <v>0</v>
      </c>
      <c r="AC48" s="276"/>
      <c r="AD48" s="276">
        <v>0</v>
      </c>
      <c r="AE48" s="276"/>
      <c r="AF48" s="276">
        <v>0</v>
      </c>
      <c r="AG48" s="276">
        <v>0</v>
      </c>
      <c r="AH48" s="283" t="s">
        <v>86</v>
      </c>
      <c r="AI48" s="282" t="s">
        <v>1005</v>
      </c>
      <c r="AJ48" s="281" t="s">
        <v>553</v>
      </c>
      <c r="AK48" s="280" t="s">
        <v>552</v>
      </c>
      <c r="AL48" s="276">
        <v>0.94</v>
      </c>
      <c r="AM48" s="279">
        <v>0</v>
      </c>
      <c r="AN48" s="276">
        <v>0</v>
      </c>
      <c r="AO48" s="276">
        <v>0.94</v>
      </c>
      <c r="AP48" s="279">
        <v>0</v>
      </c>
      <c r="AQ48" s="276">
        <v>0</v>
      </c>
      <c r="AR48" s="276">
        <v>0</v>
      </c>
      <c r="AS48" s="271">
        <v>2</v>
      </c>
      <c r="AT48" s="276">
        <v>0</v>
      </c>
      <c r="AU48" s="279">
        <v>0</v>
      </c>
      <c r="AV48" s="276">
        <v>0</v>
      </c>
      <c r="AW48" s="276">
        <v>0</v>
      </c>
      <c r="AX48" s="279">
        <v>0</v>
      </c>
      <c r="AY48" s="276">
        <v>0</v>
      </c>
      <c r="AZ48" s="276">
        <v>0</v>
      </c>
      <c r="BA48" s="278" t="s">
        <v>551</v>
      </c>
      <c r="BB48" s="276">
        <v>0</v>
      </c>
      <c r="BC48" s="279">
        <v>0</v>
      </c>
      <c r="BD48" s="276">
        <v>0</v>
      </c>
      <c r="BE48" s="276">
        <v>0</v>
      </c>
      <c r="BF48" s="279">
        <v>0</v>
      </c>
      <c r="BG48" s="276">
        <v>0</v>
      </c>
      <c r="BH48" s="276">
        <v>0</v>
      </c>
      <c r="BI48" s="278" t="s">
        <v>550</v>
      </c>
      <c r="BJ48" s="276">
        <v>0</v>
      </c>
      <c r="BK48" s="276">
        <v>0</v>
      </c>
      <c r="BL48" s="276">
        <v>0</v>
      </c>
      <c r="BM48" s="276">
        <v>0</v>
      </c>
      <c r="BN48" s="276">
        <v>0</v>
      </c>
      <c r="BO48" s="276">
        <v>0</v>
      </c>
      <c r="BP48" s="276">
        <v>0</v>
      </c>
    </row>
    <row r="49" spans="1:68" x14ac:dyDescent="0.35">
      <c r="A49" s="277" t="s">
        <v>563</v>
      </c>
      <c r="B49" s="277" t="s">
        <v>562</v>
      </c>
      <c r="C49" s="283" t="s">
        <v>1009</v>
      </c>
      <c r="D49" s="277" t="s">
        <v>560</v>
      </c>
      <c r="F49" s="277" t="s">
        <v>1008</v>
      </c>
      <c r="K49" s="277" t="s">
        <v>555</v>
      </c>
      <c r="L49" s="277" t="s">
        <v>557</v>
      </c>
      <c r="N49" s="277" t="s">
        <v>558</v>
      </c>
      <c r="O49" s="277" t="s">
        <v>555</v>
      </c>
      <c r="P49" s="277" t="s">
        <v>557</v>
      </c>
      <c r="Q49" s="277" t="s">
        <v>556</v>
      </c>
      <c r="R49" s="277" t="s">
        <v>555</v>
      </c>
      <c r="S49" s="276">
        <v>0</v>
      </c>
      <c r="T49" s="276">
        <v>0</v>
      </c>
      <c r="U49" s="276">
        <v>0</v>
      </c>
      <c r="V49" s="276">
        <v>0</v>
      </c>
      <c r="W49" s="276">
        <v>0</v>
      </c>
      <c r="X49" s="276">
        <v>0</v>
      </c>
      <c r="Y49" s="276">
        <v>0</v>
      </c>
      <c r="Z49" s="276">
        <v>0</v>
      </c>
      <c r="AA49" s="276">
        <v>0</v>
      </c>
      <c r="AB49" s="276">
        <v>0</v>
      </c>
      <c r="AC49" s="276"/>
      <c r="AD49" s="276">
        <v>0</v>
      </c>
      <c r="AE49" s="276"/>
      <c r="AF49" s="276">
        <v>0</v>
      </c>
      <c r="AG49" s="276">
        <v>0</v>
      </c>
      <c r="AH49" s="283" t="s">
        <v>86</v>
      </c>
      <c r="AI49" s="282" t="s">
        <v>1003</v>
      </c>
      <c r="AJ49" s="281" t="s">
        <v>553</v>
      </c>
      <c r="AK49" s="280" t="s">
        <v>552</v>
      </c>
      <c r="AL49" s="276">
        <v>2.7</v>
      </c>
      <c r="AM49" s="279">
        <v>0</v>
      </c>
      <c r="AN49" s="276">
        <v>0</v>
      </c>
      <c r="AO49" s="276">
        <v>2.7</v>
      </c>
      <c r="AP49" s="279">
        <v>0</v>
      </c>
      <c r="AQ49" s="276">
        <v>0</v>
      </c>
      <c r="AR49" s="276">
        <v>0</v>
      </c>
      <c r="AS49" s="271">
        <v>2</v>
      </c>
      <c r="AT49" s="276">
        <v>0</v>
      </c>
      <c r="AU49" s="279">
        <v>0</v>
      </c>
      <c r="AV49" s="276">
        <v>0</v>
      </c>
      <c r="AW49" s="276">
        <v>0</v>
      </c>
      <c r="AX49" s="279">
        <v>0</v>
      </c>
      <c r="AY49" s="276">
        <v>0</v>
      </c>
      <c r="AZ49" s="276">
        <v>0</v>
      </c>
      <c r="BA49" s="278" t="s">
        <v>551</v>
      </c>
      <c r="BB49" s="276">
        <v>0</v>
      </c>
      <c r="BC49" s="279">
        <v>0</v>
      </c>
      <c r="BD49" s="276">
        <v>0</v>
      </c>
      <c r="BE49" s="276">
        <v>0</v>
      </c>
      <c r="BF49" s="279">
        <v>0</v>
      </c>
      <c r="BG49" s="276">
        <v>0</v>
      </c>
      <c r="BH49" s="276">
        <v>0</v>
      </c>
      <c r="BI49" s="278" t="s">
        <v>550</v>
      </c>
      <c r="BJ49" s="276">
        <v>0</v>
      </c>
      <c r="BK49" s="276">
        <v>0</v>
      </c>
      <c r="BL49" s="276">
        <v>0</v>
      </c>
      <c r="BM49" s="276">
        <v>0</v>
      </c>
      <c r="BN49" s="276">
        <v>0</v>
      </c>
      <c r="BO49" s="276">
        <v>0</v>
      </c>
      <c r="BP49" s="276">
        <v>0</v>
      </c>
    </row>
    <row r="50" spans="1:68" x14ac:dyDescent="0.35">
      <c r="A50" s="277" t="s">
        <v>563</v>
      </c>
      <c r="B50" s="277" t="s">
        <v>562</v>
      </c>
      <c r="C50" s="283" t="s">
        <v>1007</v>
      </c>
      <c r="D50" s="277" t="s">
        <v>560</v>
      </c>
      <c r="F50" s="277" t="s">
        <v>1006</v>
      </c>
      <c r="K50" s="277" t="s">
        <v>555</v>
      </c>
      <c r="L50" s="277" t="s">
        <v>557</v>
      </c>
      <c r="N50" s="277" t="s">
        <v>558</v>
      </c>
      <c r="O50" s="277" t="s">
        <v>555</v>
      </c>
      <c r="P50" s="277" t="s">
        <v>557</v>
      </c>
      <c r="Q50" s="277" t="s">
        <v>556</v>
      </c>
      <c r="R50" s="277" t="s">
        <v>555</v>
      </c>
      <c r="S50" s="276">
        <v>0</v>
      </c>
      <c r="T50" s="276">
        <v>0</v>
      </c>
      <c r="U50" s="276">
        <v>0</v>
      </c>
      <c r="V50" s="276">
        <v>0</v>
      </c>
      <c r="W50" s="276">
        <v>0</v>
      </c>
      <c r="X50" s="276">
        <v>0</v>
      </c>
      <c r="Y50" s="276">
        <v>0</v>
      </c>
      <c r="Z50" s="276">
        <v>0</v>
      </c>
      <c r="AA50" s="276">
        <v>0</v>
      </c>
      <c r="AB50" s="276">
        <v>0</v>
      </c>
      <c r="AC50" s="276"/>
      <c r="AD50" s="276">
        <v>0</v>
      </c>
      <c r="AE50" s="276"/>
      <c r="AF50" s="276">
        <v>0</v>
      </c>
      <c r="AG50" s="276">
        <v>0</v>
      </c>
      <c r="AH50" s="283" t="s">
        <v>86</v>
      </c>
      <c r="AI50" s="282" t="s">
        <v>1001</v>
      </c>
      <c r="AJ50" s="281" t="s">
        <v>553</v>
      </c>
      <c r="AK50" s="280" t="s">
        <v>552</v>
      </c>
      <c r="AL50" s="276">
        <v>1.4</v>
      </c>
      <c r="AM50" s="279">
        <v>0</v>
      </c>
      <c r="AN50" s="276">
        <v>0</v>
      </c>
      <c r="AO50" s="276">
        <v>1.4</v>
      </c>
      <c r="AP50" s="279">
        <v>0</v>
      </c>
      <c r="AQ50" s="276">
        <v>0</v>
      </c>
      <c r="AR50" s="276">
        <v>0</v>
      </c>
      <c r="AS50" s="271">
        <v>2</v>
      </c>
      <c r="AT50" s="276">
        <v>0</v>
      </c>
      <c r="AU50" s="279">
        <v>0</v>
      </c>
      <c r="AV50" s="276">
        <v>0</v>
      </c>
      <c r="AW50" s="276">
        <v>0</v>
      </c>
      <c r="AX50" s="279">
        <v>0</v>
      </c>
      <c r="AY50" s="276">
        <v>0</v>
      </c>
      <c r="AZ50" s="276">
        <v>0</v>
      </c>
      <c r="BA50" s="278" t="s">
        <v>551</v>
      </c>
      <c r="BB50" s="276">
        <v>0</v>
      </c>
      <c r="BC50" s="279">
        <v>0</v>
      </c>
      <c r="BD50" s="276">
        <v>0</v>
      </c>
      <c r="BE50" s="276">
        <v>0</v>
      </c>
      <c r="BF50" s="279">
        <v>0</v>
      </c>
      <c r="BG50" s="276">
        <v>0</v>
      </c>
      <c r="BH50" s="276">
        <v>0</v>
      </c>
      <c r="BI50" s="278" t="s">
        <v>550</v>
      </c>
      <c r="BJ50" s="276">
        <v>0</v>
      </c>
      <c r="BK50" s="276">
        <v>0</v>
      </c>
      <c r="BL50" s="276">
        <v>0</v>
      </c>
      <c r="BM50" s="276">
        <v>0</v>
      </c>
      <c r="BN50" s="276">
        <v>0</v>
      </c>
      <c r="BO50" s="276">
        <v>0</v>
      </c>
      <c r="BP50" s="276">
        <v>0</v>
      </c>
    </row>
    <row r="51" spans="1:68" x14ac:dyDescent="0.35">
      <c r="A51" s="277" t="s">
        <v>563</v>
      </c>
      <c r="B51" s="277" t="s">
        <v>562</v>
      </c>
      <c r="C51" s="283" t="s">
        <v>1005</v>
      </c>
      <c r="D51" s="277" t="s">
        <v>560</v>
      </c>
      <c r="F51" s="277" t="s">
        <v>1004</v>
      </c>
      <c r="K51" s="277" t="s">
        <v>555</v>
      </c>
      <c r="L51" s="277" t="s">
        <v>557</v>
      </c>
      <c r="N51" s="277" t="s">
        <v>558</v>
      </c>
      <c r="O51" s="277" t="s">
        <v>555</v>
      </c>
      <c r="P51" s="277" t="s">
        <v>557</v>
      </c>
      <c r="Q51" s="277" t="s">
        <v>556</v>
      </c>
      <c r="R51" s="277" t="s">
        <v>555</v>
      </c>
      <c r="S51" s="276">
        <v>0</v>
      </c>
      <c r="T51" s="276">
        <v>0</v>
      </c>
      <c r="U51" s="276">
        <v>0</v>
      </c>
      <c r="V51" s="276">
        <v>0</v>
      </c>
      <c r="W51" s="276">
        <v>0</v>
      </c>
      <c r="X51" s="276">
        <v>0</v>
      </c>
      <c r="Y51" s="276">
        <v>0</v>
      </c>
      <c r="Z51" s="276">
        <v>0</v>
      </c>
      <c r="AA51" s="276">
        <v>0</v>
      </c>
      <c r="AB51" s="276">
        <v>0</v>
      </c>
      <c r="AC51" s="276"/>
      <c r="AD51" s="276">
        <v>0</v>
      </c>
      <c r="AE51" s="276"/>
      <c r="AF51" s="276">
        <v>0</v>
      </c>
      <c r="AG51" s="276">
        <v>0</v>
      </c>
      <c r="AH51" s="283" t="s">
        <v>483</v>
      </c>
      <c r="AJ51" s="281" t="s">
        <v>553</v>
      </c>
      <c r="AK51" s="280" t="s">
        <v>552</v>
      </c>
      <c r="AL51" s="276">
        <v>0.85</v>
      </c>
      <c r="AM51" s="279">
        <v>0</v>
      </c>
      <c r="AN51" s="276">
        <v>0</v>
      </c>
      <c r="AO51" s="276">
        <v>0.85</v>
      </c>
      <c r="AP51" s="279">
        <v>0</v>
      </c>
      <c r="AQ51" s="276">
        <v>0</v>
      </c>
      <c r="AR51" s="276">
        <v>0</v>
      </c>
      <c r="AS51" s="271">
        <v>2</v>
      </c>
      <c r="AT51" s="276">
        <v>0</v>
      </c>
      <c r="AU51" s="279">
        <v>0</v>
      </c>
      <c r="AV51" s="276">
        <v>0</v>
      </c>
      <c r="AW51" s="276">
        <v>0</v>
      </c>
      <c r="AX51" s="279">
        <v>0</v>
      </c>
      <c r="AY51" s="276">
        <v>0</v>
      </c>
      <c r="AZ51" s="276">
        <v>0</v>
      </c>
      <c r="BA51" s="278" t="s">
        <v>551</v>
      </c>
      <c r="BB51" s="276">
        <v>0</v>
      </c>
      <c r="BC51" s="279">
        <v>0</v>
      </c>
      <c r="BD51" s="276">
        <v>0</v>
      </c>
      <c r="BE51" s="276">
        <v>0</v>
      </c>
      <c r="BF51" s="279">
        <v>0</v>
      </c>
      <c r="BG51" s="276">
        <v>0</v>
      </c>
      <c r="BH51" s="276">
        <v>0</v>
      </c>
      <c r="BI51" s="278" t="s">
        <v>550</v>
      </c>
      <c r="BJ51" s="276">
        <v>0</v>
      </c>
      <c r="BK51" s="276">
        <v>0</v>
      </c>
      <c r="BL51" s="276">
        <v>0</v>
      </c>
      <c r="BM51" s="276">
        <v>0</v>
      </c>
      <c r="BN51" s="276">
        <v>0</v>
      </c>
      <c r="BO51" s="276">
        <v>0</v>
      </c>
      <c r="BP51" s="276">
        <v>0</v>
      </c>
    </row>
    <row r="52" spans="1:68" x14ac:dyDescent="0.35">
      <c r="A52" s="277" t="s">
        <v>563</v>
      </c>
      <c r="B52" s="277" t="s">
        <v>562</v>
      </c>
      <c r="C52" s="283" t="s">
        <v>1003</v>
      </c>
      <c r="D52" s="277" t="s">
        <v>560</v>
      </c>
      <c r="F52" s="277" t="s">
        <v>1002</v>
      </c>
      <c r="K52" s="277" t="s">
        <v>555</v>
      </c>
      <c r="L52" s="277" t="s">
        <v>557</v>
      </c>
      <c r="N52" s="277" t="s">
        <v>558</v>
      </c>
      <c r="O52" s="277" t="s">
        <v>555</v>
      </c>
      <c r="P52" s="277" t="s">
        <v>557</v>
      </c>
      <c r="Q52" s="277" t="s">
        <v>556</v>
      </c>
      <c r="R52" s="277" t="s">
        <v>555</v>
      </c>
      <c r="S52" s="276">
        <v>0</v>
      </c>
      <c r="T52" s="276">
        <v>0</v>
      </c>
      <c r="U52" s="276">
        <v>0</v>
      </c>
      <c r="V52" s="276">
        <v>0</v>
      </c>
      <c r="W52" s="276">
        <v>0</v>
      </c>
      <c r="X52" s="276">
        <v>0</v>
      </c>
      <c r="Y52" s="276">
        <v>0</v>
      </c>
      <c r="Z52" s="276">
        <v>0</v>
      </c>
      <c r="AA52" s="276">
        <v>0</v>
      </c>
      <c r="AB52" s="276">
        <v>0</v>
      </c>
      <c r="AC52" s="276"/>
      <c r="AD52" s="276">
        <v>0</v>
      </c>
      <c r="AE52" s="276"/>
      <c r="AF52" s="276">
        <v>0</v>
      </c>
      <c r="AG52" s="276">
        <v>0</v>
      </c>
      <c r="AH52" s="283" t="s">
        <v>483</v>
      </c>
      <c r="AJ52" s="281" t="s">
        <v>553</v>
      </c>
      <c r="AK52" s="280" t="s">
        <v>552</v>
      </c>
      <c r="AL52" s="276">
        <v>1.2</v>
      </c>
      <c r="AM52" s="279">
        <v>0</v>
      </c>
      <c r="AN52" s="276">
        <v>0</v>
      </c>
      <c r="AO52" s="276">
        <v>1.2</v>
      </c>
      <c r="AP52" s="279">
        <v>0</v>
      </c>
      <c r="AQ52" s="276">
        <v>0</v>
      </c>
      <c r="AR52" s="276">
        <v>0</v>
      </c>
      <c r="AS52" s="271">
        <v>2</v>
      </c>
      <c r="AT52" s="276">
        <v>0</v>
      </c>
      <c r="AU52" s="279">
        <v>0</v>
      </c>
      <c r="AV52" s="276">
        <v>0</v>
      </c>
      <c r="AW52" s="276">
        <v>0</v>
      </c>
      <c r="AX52" s="279">
        <v>0</v>
      </c>
      <c r="AY52" s="276">
        <v>0</v>
      </c>
      <c r="AZ52" s="276">
        <v>0</v>
      </c>
      <c r="BA52" s="278" t="s">
        <v>551</v>
      </c>
      <c r="BB52" s="276">
        <v>0</v>
      </c>
      <c r="BC52" s="279">
        <v>0</v>
      </c>
      <c r="BD52" s="276">
        <v>0</v>
      </c>
      <c r="BE52" s="276">
        <v>0</v>
      </c>
      <c r="BF52" s="279">
        <v>0</v>
      </c>
      <c r="BG52" s="276">
        <v>0</v>
      </c>
      <c r="BH52" s="276">
        <v>0</v>
      </c>
      <c r="BI52" s="278" t="s">
        <v>550</v>
      </c>
      <c r="BJ52" s="276">
        <v>0</v>
      </c>
      <c r="BK52" s="276">
        <v>0</v>
      </c>
      <c r="BL52" s="276">
        <v>0</v>
      </c>
      <c r="BM52" s="276">
        <v>0</v>
      </c>
      <c r="BN52" s="276">
        <v>0</v>
      </c>
      <c r="BO52" s="276">
        <v>0</v>
      </c>
      <c r="BP52" s="276">
        <v>0</v>
      </c>
    </row>
    <row r="53" spans="1:68" x14ac:dyDescent="0.35">
      <c r="A53" s="277" t="s">
        <v>563</v>
      </c>
      <c r="B53" s="277" t="s">
        <v>562</v>
      </c>
      <c r="C53" s="283" t="s">
        <v>1001</v>
      </c>
      <c r="D53" s="277" t="s">
        <v>560</v>
      </c>
      <c r="F53" s="277" t="s">
        <v>1000</v>
      </c>
      <c r="K53" s="277" t="s">
        <v>555</v>
      </c>
      <c r="L53" s="277" t="s">
        <v>557</v>
      </c>
      <c r="N53" s="277" t="s">
        <v>558</v>
      </c>
      <c r="O53" s="277" t="s">
        <v>555</v>
      </c>
      <c r="P53" s="277" t="s">
        <v>557</v>
      </c>
      <c r="Q53" s="277" t="s">
        <v>556</v>
      </c>
      <c r="R53" s="277" t="s">
        <v>555</v>
      </c>
      <c r="S53" s="276">
        <v>0</v>
      </c>
      <c r="T53" s="276">
        <v>0</v>
      </c>
      <c r="U53" s="276">
        <v>0</v>
      </c>
      <c r="V53" s="276">
        <v>0</v>
      </c>
      <c r="W53" s="276">
        <v>0</v>
      </c>
      <c r="X53" s="276">
        <v>0</v>
      </c>
      <c r="Y53" s="276">
        <v>0</v>
      </c>
      <c r="Z53" s="276">
        <v>0</v>
      </c>
      <c r="AA53" s="276">
        <v>0</v>
      </c>
      <c r="AB53" s="276">
        <v>0</v>
      </c>
      <c r="AC53" s="276"/>
      <c r="AD53" s="276">
        <v>0</v>
      </c>
      <c r="AE53" s="276"/>
      <c r="AF53" s="276">
        <v>0</v>
      </c>
      <c r="AG53" s="276">
        <v>0</v>
      </c>
      <c r="AH53" s="283" t="s">
        <v>483</v>
      </c>
      <c r="AJ53" s="281" t="s">
        <v>553</v>
      </c>
      <c r="AK53" s="280" t="s">
        <v>552</v>
      </c>
      <c r="AL53" s="276">
        <v>0.9</v>
      </c>
      <c r="AM53" s="279">
        <v>0</v>
      </c>
      <c r="AN53" s="276">
        <v>0</v>
      </c>
      <c r="AO53" s="276">
        <v>0.9</v>
      </c>
      <c r="AP53" s="279">
        <v>0</v>
      </c>
      <c r="AQ53" s="276">
        <v>0</v>
      </c>
      <c r="AR53" s="276">
        <v>0</v>
      </c>
      <c r="AS53" s="271">
        <v>2</v>
      </c>
      <c r="AT53" s="276">
        <v>0</v>
      </c>
      <c r="AU53" s="279">
        <v>0</v>
      </c>
      <c r="AV53" s="276">
        <v>0</v>
      </c>
      <c r="AW53" s="276">
        <v>0</v>
      </c>
      <c r="AX53" s="279">
        <v>0</v>
      </c>
      <c r="AY53" s="276">
        <v>0</v>
      </c>
      <c r="AZ53" s="276">
        <v>0</v>
      </c>
      <c r="BA53" s="278" t="s">
        <v>551</v>
      </c>
      <c r="BB53" s="276">
        <v>0</v>
      </c>
      <c r="BC53" s="279">
        <v>0</v>
      </c>
      <c r="BD53" s="276">
        <v>0</v>
      </c>
      <c r="BE53" s="276">
        <v>0</v>
      </c>
      <c r="BF53" s="279">
        <v>0</v>
      </c>
      <c r="BG53" s="276">
        <v>0</v>
      </c>
      <c r="BH53" s="276">
        <v>0</v>
      </c>
      <c r="BI53" s="278" t="s">
        <v>550</v>
      </c>
      <c r="BJ53" s="276">
        <v>0</v>
      </c>
      <c r="BK53" s="276">
        <v>0</v>
      </c>
      <c r="BL53" s="276">
        <v>0</v>
      </c>
      <c r="BM53" s="276">
        <v>0</v>
      </c>
      <c r="BN53" s="276">
        <v>0</v>
      </c>
      <c r="BO53" s="276">
        <v>0</v>
      </c>
      <c r="BP53" s="276">
        <v>0</v>
      </c>
    </row>
    <row r="54" spans="1:68" x14ac:dyDescent="0.35">
      <c r="A54" s="277" t="s">
        <v>563</v>
      </c>
      <c r="B54" s="277" t="s">
        <v>562</v>
      </c>
      <c r="C54" s="283" t="s">
        <v>999</v>
      </c>
      <c r="D54" s="277" t="s">
        <v>560</v>
      </c>
      <c r="F54" s="277" t="s">
        <v>998</v>
      </c>
      <c r="K54" s="277" t="s">
        <v>883</v>
      </c>
      <c r="L54" s="277" t="s">
        <v>557</v>
      </c>
      <c r="N54" s="277" t="s">
        <v>884</v>
      </c>
      <c r="O54" s="277" t="s">
        <v>883</v>
      </c>
      <c r="P54" s="277" t="s">
        <v>557</v>
      </c>
      <c r="Q54" s="277" t="s">
        <v>556</v>
      </c>
      <c r="R54" s="277" t="s">
        <v>883</v>
      </c>
      <c r="S54" s="276">
        <v>0</v>
      </c>
      <c r="T54" s="276">
        <v>0</v>
      </c>
      <c r="U54" s="276">
        <v>0</v>
      </c>
      <c r="V54" s="276">
        <v>0</v>
      </c>
      <c r="W54" s="276">
        <v>0</v>
      </c>
      <c r="X54" s="276">
        <v>0</v>
      </c>
      <c r="Y54" s="276">
        <v>0</v>
      </c>
      <c r="Z54" s="276">
        <v>0</v>
      </c>
      <c r="AA54" s="276">
        <v>0</v>
      </c>
      <c r="AB54" s="276">
        <v>0</v>
      </c>
      <c r="AC54" s="276"/>
      <c r="AD54" s="276">
        <v>0</v>
      </c>
      <c r="AE54" s="276"/>
      <c r="AF54" s="276">
        <v>0</v>
      </c>
      <c r="AG54" s="276">
        <v>0</v>
      </c>
      <c r="AH54" s="283" t="s">
        <v>86</v>
      </c>
      <c r="AI54" s="282" t="s">
        <v>997</v>
      </c>
      <c r="AJ54" s="281" t="s">
        <v>553</v>
      </c>
      <c r="AK54" s="280" t="s">
        <v>552</v>
      </c>
      <c r="AL54" s="276">
        <v>0.95</v>
      </c>
      <c r="AM54" s="279">
        <v>0</v>
      </c>
      <c r="AN54" s="276">
        <v>0</v>
      </c>
      <c r="AO54" s="276">
        <v>0.95</v>
      </c>
      <c r="AP54" s="279">
        <v>0</v>
      </c>
      <c r="AQ54" s="276">
        <v>0</v>
      </c>
      <c r="AR54" s="276">
        <v>0</v>
      </c>
      <c r="AS54" s="271">
        <v>2</v>
      </c>
      <c r="AT54" s="276">
        <v>0</v>
      </c>
      <c r="AU54" s="279">
        <v>0</v>
      </c>
      <c r="AV54" s="276">
        <v>0</v>
      </c>
      <c r="AW54" s="276">
        <v>0</v>
      </c>
      <c r="AX54" s="279">
        <v>0</v>
      </c>
      <c r="AY54" s="276">
        <v>0</v>
      </c>
      <c r="AZ54" s="276">
        <v>0</v>
      </c>
      <c r="BA54" s="278" t="s">
        <v>551</v>
      </c>
      <c r="BB54" s="276">
        <v>0</v>
      </c>
      <c r="BC54" s="279">
        <v>0</v>
      </c>
      <c r="BD54" s="276">
        <v>0</v>
      </c>
      <c r="BE54" s="276">
        <v>0</v>
      </c>
      <c r="BF54" s="279">
        <v>0</v>
      </c>
      <c r="BG54" s="276">
        <v>0</v>
      </c>
      <c r="BH54" s="276">
        <v>0</v>
      </c>
      <c r="BI54" s="278" t="s">
        <v>550</v>
      </c>
      <c r="BJ54" s="276">
        <v>0</v>
      </c>
      <c r="BK54" s="276">
        <v>0</v>
      </c>
      <c r="BL54" s="276">
        <v>0</v>
      </c>
      <c r="BM54" s="276">
        <v>0</v>
      </c>
      <c r="BN54" s="276">
        <v>0</v>
      </c>
      <c r="BO54" s="276">
        <v>0</v>
      </c>
      <c r="BP54" s="276">
        <v>0</v>
      </c>
    </row>
    <row r="55" spans="1:68" x14ac:dyDescent="0.35">
      <c r="A55" s="277" t="s">
        <v>563</v>
      </c>
      <c r="B55" s="277" t="s">
        <v>562</v>
      </c>
      <c r="C55" s="283" t="s">
        <v>997</v>
      </c>
      <c r="D55" s="277" t="s">
        <v>560</v>
      </c>
      <c r="F55" s="277" t="s">
        <v>996</v>
      </c>
      <c r="K55" s="277" t="s">
        <v>883</v>
      </c>
      <c r="L55" s="277" t="s">
        <v>557</v>
      </c>
      <c r="N55" s="277" t="s">
        <v>884</v>
      </c>
      <c r="O55" s="277" t="s">
        <v>883</v>
      </c>
      <c r="P55" s="277" t="s">
        <v>557</v>
      </c>
      <c r="Q55" s="277" t="s">
        <v>556</v>
      </c>
      <c r="R55" s="277" t="s">
        <v>883</v>
      </c>
      <c r="S55" s="276">
        <v>0</v>
      </c>
      <c r="T55" s="276">
        <v>0</v>
      </c>
      <c r="U55" s="276">
        <v>0</v>
      </c>
      <c r="V55" s="276">
        <v>0</v>
      </c>
      <c r="W55" s="276">
        <v>0</v>
      </c>
      <c r="X55" s="276">
        <v>0</v>
      </c>
      <c r="Y55" s="276">
        <v>0</v>
      </c>
      <c r="Z55" s="276">
        <v>0</v>
      </c>
      <c r="AA55" s="276">
        <v>0</v>
      </c>
      <c r="AB55" s="276">
        <v>0</v>
      </c>
      <c r="AC55" s="276"/>
      <c r="AD55" s="276">
        <v>0</v>
      </c>
      <c r="AE55" s="276"/>
      <c r="AF55" s="276">
        <v>0</v>
      </c>
      <c r="AG55" s="276">
        <v>0</v>
      </c>
      <c r="AH55" s="283" t="s">
        <v>483</v>
      </c>
      <c r="AJ55" s="281" t="s">
        <v>553</v>
      </c>
      <c r="AK55" s="280" t="s">
        <v>552</v>
      </c>
      <c r="AL55" s="276">
        <v>0.68</v>
      </c>
      <c r="AM55" s="279">
        <v>0</v>
      </c>
      <c r="AN55" s="276">
        <v>0</v>
      </c>
      <c r="AO55" s="276">
        <v>0.68</v>
      </c>
      <c r="AP55" s="279">
        <v>0</v>
      </c>
      <c r="AQ55" s="276">
        <v>0</v>
      </c>
      <c r="AR55" s="276">
        <v>0</v>
      </c>
      <c r="AS55" s="271">
        <v>2</v>
      </c>
      <c r="AT55" s="276">
        <v>0</v>
      </c>
      <c r="AU55" s="279">
        <v>0</v>
      </c>
      <c r="AV55" s="276">
        <v>0</v>
      </c>
      <c r="AW55" s="276">
        <v>0</v>
      </c>
      <c r="AX55" s="279">
        <v>0</v>
      </c>
      <c r="AY55" s="276">
        <v>0</v>
      </c>
      <c r="AZ55" s="276">
        <v>0</v>
      </c>
      <c r="BA55" s="278" t="s">
        <v>551</v>
      </c>
      <c r="BB55" s="276">
        <v>0</v>
      </c>
      <c r="BC55" s="279">
        <v>0</v>
      </c>
      <c r="BD55" s="276">
        <v>0</v>
      </c>
      <c r="BE55" s="276">
        <v>0</v>
      </c>
      <c r="BF55" s="279">
        <v>0</v>
      </c>
      <c r="BG55" s="276">
        <v>0</v>
      </c>
      <c r="BH55" s="276">
        <v>0</v>
      </c>
      <c r="BI55" s="278" t="s">
        <v>550</v>
      </c>
      <c r="BJ55" s="276">
        <v>0</v>
      </c>
      <c r="BK55" s="276">
        <v>0</v>
      </c>
      <c r="BL55" s="276">
        <v>0</v>
      </c>
      <c r="BM55" s="276">
        <v>0</v>
      </c>
      <c r="BN55" s="276">
        <v>0</v>
      </c>
      <c r="BO55" s="276">
        <v>0</v>
      </c>
      <c r="BP55" s="276">
        <v>0</v>
      </c>
    </row>
    <row r="56" spans="1:68" x14ac:dyDescent="0.35">
      <c r="A56" s="277" t="s">
        <v>563</v>
      </c>
      <c r="B56" s="277" t="s">
        <v>562</v>
      </c>
      <c r="C56" s="283" t="s">
        <v>995</v>
      </c>
      <c r="D56" s="277" t="s">
        <v>560</v>
      </c>
      <c r="F56" s="277" t="s">
        <v>994</v>
      </c>
      <c r="K56" s="277" t="s">
        <v>883</v>
      </c>
      <c r="L56" s="277" t="s">
        <v>557</v>
      </c>
      <c r="N56" s="277" t="s">
        <v>884</v>
      </c>
      <c r="O56" s="277" t="s">
        <v>883</v>
      </c>
      <c r="P56" s="277" t="s">
        <v>557</v>
      </c>
      <c r="Q56" s="277" t="s">
        <v>556</v>
      </c>
      <c r="R56" s="277" t="s">
        <v>883</v>
      </c>
      <c r="S56" s="276">
        <v>1512</v>
      </c>
      <c r="T56" s="276">
        <v>0</v>
      </c>
      <c r="U56" s="276">
        <v>0</v>
      </c>
      <c r="V56" s="276">
        <v>0</v>
      </c>
      <c r="W56" s="276">
        <v>0</v>
      </c>
      <c r="X56" s="276">
        <v>0</v>
      </c>
      <c r="Y56" s="276">
        <v>0</v>
      </c>
      <c r="Z56" s="276">
        <v>0</v>
      </c>
      <c r="AA56" s="276">
        <v>0</v>
      </c>
      <c r="AB56" s="276">
        <v>0</v>
      </c>
      <c r="AC56" s="276"/>
      <c r="AD56" s="276">
        <v>0</v>
      </c>
      <c r="AE56" s="276"/>
      <c r="AF56" s="276">
        <v>0</v>
      </c>
      <c r="AG56" s="276">
        <v>0</v>
      </c>
      <c r="AH56" s="283" t="s">
        <v>483</v>
      </c>
      <c r="AJ56" s="281" t="s">
        <v>553</v>
      </c>
      <c r="AK56" s="280" t="s">
        <v>552</v>
      </c>
      <c r="AL56" s="276">
        <v>0</v>
      </c>
      <c r="AM56" s="279">
        <v>0</v>
      </c>
      <c r="AN56" s="276">
        <v>15</v>
      </c>
      <c r="AO56" s="276">
        <v>0</v>
      </c>
      <c r="AP56" s="279">
        <v>0</v>
      </c>
      <c r="AQ56" s="276">
        <v>0</v>
      </c>
      <c r="AR56" s="276">
        <v>0</v>
      </c>
      <c r="AS56" s="271">
        <v>2</v>
      </c>
      <c r="AT56" s="276">
        <v>0</v>
      </c>
      <c r="AU56" s="279">
        <v>0</v>
      </c>
      <c r="AV56" s="276">
        <v>0</v>
      </c>
      <c r="AW56" s="276">
        <v>0</v>
      </c>
      <c r="AX56" s="279">
        <v>0</v>
      </c>
      <c r="AY56" s="276">
        <v>0</v>
      </c>
      <c r="AZ56" s="276">
        <v>0</v>
      </c>
      <c r="BA56" s="278" t="s">
        <v>551</v>
      </c>
      <c r="BB56" s="276">
        <v>0</v>
      </c>
      <c r="BC56" s="279">
        <v>0</v>
      </c>
      <c r="BD56" s="276">
        <v>0</v>
      </c>
      <c r="BE56" s="276">
        <v>0</v>
      </c>
      <c r="BF56" s="279">
        <v>0</v>
      </c>
      <c r="BG56" s="276">
        <v>0</v>
      </c>
      <c r="BH56" s="276">
        <v>0</v>
      </c>
      <c r="BI56" s="278" t="s">
        <v>550</v>
      </c>
      <c r="BJ56" s="276">
        <v>0</v>
      </c>
      <c r="BK56" s="276">
        <v>0</v>
      </c>
      <c r="BL56" s="276">
        <v>0</v>
      </c>
      <c r="BM56" s="276">
        <v>0</v>
      </c>
      <c r="BN56" s="276">
        <v>0</v>
      </c>
      <c r="BO56" s="276">
        <v>0</v>
      </c>
      <c r="BP56" s="276">
        <v>0</v>
      </c>
    </row>
    <row r="57" spans="1:68" x14ac:dyDescent="0.35">
      <c r="A57" s="277" t="s">
        <v>563</v>
      </c>
      <c r="B57" s="277" t="s">
        <v>562</v>
      </c>
      <c r="C57" s="283" t="s">
        <v>993</v>
      </c>
      <c r="D57" s="277" t="s">
        <v>560</v>
      </c>
      <c r="F57" s="277" t="s">
        <v>992</v>
      </c>
      <c r="K57" s="277" t="s">
        <v>883</v>
      </c>
      <c r="L57" s="277" t="s">
        <v>557</v>
      </c>
      <c r="N57" s="277" t="s">
        <v>884</v>
      </c>
      <c r="O57" s="277" t="s">
        <v>883</v>
      </c>
      <c r="P57" s="277" t="s">
        <v>557</v>
      </c>
      <c r="Q57" s="277" t="s">
        <v>556</v>
      </c>
      <c r="R57" s="277" t="s">
        <v>883</v>
      </c>
      <c r="S57" s="276">
        <v>0</v>
      </c>
      <c r="T57" s="276">
        <v>0</v>
      </c>
      <c r="U57" s="276">
        <v>0</v>
      </c>
      <c r="V57" s="276">
        <v>0</v>
      </c>
      <c r="W57" s="276">
        <v>0</v>
      </c>
      <c r="X57" s="276">
        <v>0</v>
      </c>
      <c r="Y57" s="276">
        <v>0</v>
      </c>
      <c r="Z57" s="276">
        <v>0</v>
      </c>
      <c r="AA57" s="276">
        <v>0</v>
      </c>
      <c r="AB57" s="276">
        <v>0</v>
      </c>
      <c r="AC57" s="276"/>
      <c r="AD57" s="276">
        <v>0</v>
      </c>
      <c r="AE57" s="276"/>
      <c r="AF57" s="276">
        <v>0</v>
      </c>
      <c r="AG57" s="276">
        <v>0</v>
      </c>
      <c r="AH57" s="283" t="s">
        <v>86</v>
      </c>
      <c r="AI57" s="282" t="s">
        <v>987</v>
      </c>
      <c r="AJ57" s="281" t="s">
        <v>553</v>
      </c>
      <c r="AK57" s="280" t="s">
        <v>552</v>
      </c>
      <c r="AL57" s="276">
        <v>1.02</v>
      </c>
      <c r="AM57" s="279">
        <v>0</v>
      </c>
      <c r="AN57" s="276">
        <v>0</v>
      </c>
      <c r="AO57" s="276">
        <v>1.02</v>
      </c>
      <c r="AP57" s="279">
        <v>0</v>
      </c>
      <c r="AQ57" s="276">
        <v>0</v>
      </c>
      <c r="AR57" s="276">
        <v>0</v>
      </c>
      <c r="AS57" s="271">
        <v>2</v>
      </c>
      <c r="AT57" s="276">
        <v>0</v>
      </c>
      <c r="AU57" s="279">
        <v>0</v>
      </c>
      <c r="AV57" s="276">
        <v>0</v>
      </c>
      <c r="AW57" s="276">
        <v>0</v>
      </c>
      <c r="AX57" s="279">
        <v>0</v>
      </c>
      <c r="AY57" s="276">
        <v>0</v>
      </c>
      <c r="AZ57" s="276">
        <v>0</v>
      </c>
      <c r="BA57" s="278" t="s">
        <v>551</v>
      </c>
      <c r="BB57" s="276">
        <v>0</v>
      </c>
      <c r="BC57" s="279">
        <v>0</v>
      </c>
      <c r="BD57" s="276">
        <v>0</v>
      </c>
      <c r="BE57" s="276">
        <v>0</v>
      </c>
      <c r="BF57" s="279">
        <v>0</v>
      </c>
      <c r="BG57" s="276">
        <v>0</v>
      </c>
      <c r="BH57" s="276">
        <v>0</v>
      </c>
      <c r="BI57" s="278" t="s">
        <v>550</v>
      </c>
      <c r="BJ57" s="276">
        <v>0</v>
      </c>
      <c r="BK57" s="276">
        <v>0</v>
      </c>
      <c r="BL57" s="276">
        <v>0</v>
      </c>
      <c r="BM57" s="276">
        <v>0</v>
      </c>
      <c r="BN57" s="276">
        <v>0</v>
      </c>
      <c r="BO57" s="276">
        <v>0</v>
      </c>
      <c r="BP57" s="276">
        <v>0</v>
      </c>
    </row>
    <row r="58" spans="1:68" x14ac:dyDescent="0.35">
      <c r="A58" s="277" t="s">
        <v>563</v>
      </c>
      <c r="B58" s="277" t="s">
        <v>562</v>
      </c>
      <c r="C58" s="283" t="s">
        <v>991</v>
      </c>
      <c r="D58" s="277" t="s">
        <v>560</v>
      </c>
      <c r="F58" s="277" t="s">
        <v>990</v>
      </c>
      <c r="K58" s="277" t="s">
        <v>883</v>
      </c>
      <c r="L58" s="277" t="s">
        <v>557</v>
      </c>
      <c r="N58" s="277" t="s">
        <v>884</v>
      </c>
      <c r="O58" s="277" t="s">
        <v>883</v>
      </c>
      <c r="P58" s="277" t="s">
        <v>557</v>
      </c>
      <c r="Q58" s="277" t="s">
        <v>556</v>
      </c>
      <c r="R58" s="277" t="s">
        <v>883</v>
      </c>
      <c r="S58" s="276">
        <v>0</v>
      </c>
      <c r="T58" s="276">
        <v>0</v>
      </c>
      <c r="U58" s="276">
        <v>0</v>
      </c>
      <c r="V58" s="276">
        <v>0</v>
      </c>
      <c r="W58" s="276">
        <v>0</v>
      </c>
      <c r="X58" s="276">
        <v>0</v>
      </c>
      <c r="Y58" s="276">
        <v>0</v>
      </c>
      <c r="Z58" s="276">
        <v>0</v>
      </c>
      <c r="AA58" s="276">
        <v>0</v>
      </c>
      <c r="AB58" s="276">
        <v>0</v>
      </c>
      <c r="AC58" s="276"/>
      <c r="AD58" s="276">
        <v>0</v>
      </c>
      <c r="AE58" s="276"/>
      <c r="AF58" s="276">
        <v>0</v>
      </c>
      <c r="AG58" s="276">
        <v>0</v>
      </c>
      <c r="AH58" s="283" t="s">
        <v>86</v>
      </c>
      <c r="AI58" s="282" t="s">
        <v>985</v>
      </c>
      <c r="AJ58" s="281" t="s">
        <v>553</v>
      </c>
      <c r="AK58" s="280" t="s">
        <v>552</v>
      </c>
      <c r="AL58" s="276">
        <v>2.8</v>
      </c>
      <c r="AM58" s="279">
        <v>0</v>
      </c>
      <c r="AN58" s="276">
        <v>0</v>
      </c>
      <c r="AO58" s="276">
        <v>2.8</v>
      </c>
      <c r="AP58" s="279">
        <v>0</v>
      </c>
      <c r="AQ58" s="276">
        <v>0</v>
      </c>
      <c r="AR58" s="276">
        <v>0</v>
      </c>
      <c r="AS58" s="271">
        <v>2</v>
      </c>
      <c r="AT58" s="276">
        <v>0</v>
      </c>
      <c r="AU58" s="279">
        <v>0</v>
      </c>
      <c r="AV58" s="276">
        <v>0</v>
      </c>
      <c r="AW58" s="276">
        <v>0</v>
      </c>
      <c r="AX58" s="279">
        <v>0</v>
      </c>
      <c r="AY58" s="276">
        <v>0</v>
      </c>
      <c r="AZ58" s="276">
        <v>0</v>
      </c>
      <c r="BA58" s="278" t="s">
        <v>551</v>
      </c>
      <c r="BB58" s="276">
        <v>0</v>
      </c>
      <c r="BC58" s="279">
        <v>0</v>
      </c>
      <c r="BD58" s="276">
        <v>0</v>
      </c>
      <c r="BE58" s="276">
        <v>0</v>
      </c>
      <c r="BF58" s="279">
        <v>0</v>
      </c>
      <c r="BG58" s="276">
        <v>0</v>
      </c>
      <c r="BH58" s="276">
        <v>0</v>
      </c>
      <c r="BI58" s="278" t="s">
        <v>550</v>
      </c>
      <c r="BJ58" s="276">
        <v>0</v>
      </c>
      <c r="BK58" s="276">
        <v>0</v>
      </c>
      <c r="BL58" s="276">
        <v>0</v>
      </c>
      <c r="BM58" s="276">
        <v>0</v>
      </c>
      <c r="BN58" s="276">
        <v>0</v>
      </c>
      <c r="BO58" s="276">
        <v>0</v>
      </c>
      <c r="BP58" s="276">
        <v>0</v>
      </c>
    </row>
    <row r="59" spans="1:68" x14ac:dyDescent="0.35">
      <c r="A59" s="277" t="s">
        <v>563</v>
      </c>
      <c r="B59" s="277" t="s">
        <v>562</v>
      </c>
      <c r="C59" s="283" t="s">
        <v>989</v>
      </c>
      <c r="D59" s="277" t="s">
        <v>560</v>
      </c>
      <c r="F59" s="277" t="s">
        <v>988</v>
      </c>
      <c r="K59" s="277" t="s">
        <v>883</v>
      </c>
      <c r="L59" s="277" t="s">
        <v>557</v>
      </c>
      <c r="N59" s="277" t="s">
        <v>884</v>
      </c>
      <c r="O59" s="277" t="s">
        <v>883</v>
      </c>
      <c r="P59" s="277" t="s">
        <v>557</v>
      </c>
      <c r="Q59" s="277" t="s">
        <v>556</v>
      </c>
      <c r="R59" s="277" t="s">
        <v>883</v>
      </c>
      <c r="S59" s="276">
        <v>0</v>
      </c>
      <c r="T59" s="276">
        <v>0</v>
      </c>
      <c r="U59" s="276">
        <v>0</v>
      </c>
      <c r="V59" s="276">
        <v>0</v>
      </c>
      <c r="W59" s="276">
        <v>0</v>
      </c>
      <c r="X59" s="276">
        <v>0</v>
      </c>
      <c r="Y59" s="276">
        <v>0</v>
      </c>
      <c r="Z59" s="276">
        <v>0</v>
      </c>
      <c r="AA59" s="276">
        <v>0</v>
      </c>
      <c r="AB59" s="276">
        <v>0</v>
      </c>
      <c r="AC59" s="276"/>
      <c r="AD59" s="276">
        <v>0</v>
      </c>
      <c r="AE59" s="276"/>
      <c r="AF59" s="276">
        <v>0</v>
      </c>
      <c r="AG59" s="276">
        <v>0</v>
      </c>
      <c r="AH59" s="283" t="s">
        <v>86</v>
      </c>
      <c r="AI59" s="282" t="s">
        <v>983</v>
      </c>
      <c r="AJ59" s="281" t="s">
        <v>553</v>
      </c>
      <c r="AK59" s="280" t="s">
        <v>552</v>
      </c>
      <c r="AL59" s="276">
        <v>1.25</v>
      </c>
      <c r="AM59" s="279">
        <v>0</v>
      </c>
      <c r="AN59" s="276">
        <v>0</v>
      </c>
      <c r="AO59" s="276">
        <v>1.25</v>
      </c>
      <c r="AP59" s="279">
        <v>0</v>
      </c>
      <c r="AQ59" s="276">
        <v>0</v>
      </c>
      <c r="AR59" s="276">
        <v>0</v>
      </c>
      <c r="AS59" s="271">
        <v>2</v>
      </c>
      <c r="AT59" s="276">
        <v>0</v>
      </c>
      <c r="AU59" s="279">
        <v>0</v>
      </c>
      <c r="AV59" s="276">
        <v>0</v>
      </c>
      <c r="AW59" s="276">
        <v>0</v>
      </c>
      <c r="AX59" s="279">
        <v>0</v>
      </c>
      <c r="AY59" s="276">
        <v>0</v>
      </c>
      <c r="AZ59" s="276">
        <v>0</v>
      </c>
      <c r="BA59" s="278" t="s">
        <v>551</v>
      </c>
      <c r="BB59" s="276">
        <v>0</v>
      </c>
      <c r="BC59" s="279">
        <v>0</v>
      </c>
      <c r="BD59" s="276">
        <v>0</v>
      </c>
      <c r="BE59" s="276">
        <v>0</v>
      </c>
      <c r="BF59" s="279">
        <v>0</v>
      </c>
      <c r="BG59" s="276">
        <v>0</v>
      </c>
      <c r="BH59" s="276">
        <v>0</v>
      </c>
      <c r="BI59" s="278" t="s">
        <v>550</v>
      </c>
      <c r="BJ59" s="276">
        <v>0</v>
      </c>
      <c r="BK59" s="276">
        <v>0</v>
      </c>
      <c r="BL59" s="276">
        <v>0</v>
      </c>
      <c r="BM59" s="276">
        <v>0</v>
      </c>
      <c r="BN59" s="276">
        <v>0</v>
      </c>
      <c r="BO59" s="276">
        <v>0</v>
      </c>
      <c r="BP59" s="276">
        <v>0</v>
      </c>
    </row>
    <row r="60" spans="1:68" x14ac:dyDescent="0.35">
      <c r="A60" s="277" t="s">
        <v>563</v>
      </c>
      <c r="B60" s="277" t="s">
        <v>562</v>
      </c>
      <c r="C60" s="283" t="s">
        <v>987</v>
      </c>
      <c r="D60" s="277" t="s">
        <v>560</v>
      </c>
      <c r="F60" s="277" t="s">
        <v>986</v>
      </c>
      <c r="K60" s="277" t="s">
        <v>883</v>
      </c>
      <c r="L60" s="277" t="s">
        <v>557</v>
      </c>
      <c r="N60" s="277" t="s">
        <v>884</v>
      </c>
      <c r="O60" s="277" t="s">
        <v>883</v>
      </c>
      <c r="P60" s="277" t="s">
        <v>557</v>
      </c>
      <c r="Q60" s="277" t="s">
        <v>556</v>
      </c>
      <c r="R60" s="277" t="s">
        <v>883</v>
      </c>
      <c r="S60" s="276">
        <v>0</v>
      </c>
      <c r="T60" s="276">
        <v>0</v>
      </c>
      <c r="U60" s="276">
        <v>0</v>
      </c>
      <c r="V60" s="276">
        <v>0</v>
      </c>
      <c r="W60" s="276">
        <v>0</v>
      </c>
      <c r="X60" s="276">
        <v>0</v>
      </c>
      <c r="Y60" s="276">
        <v>0</v>
      </c>
      <c r="Z60" s="276">
        <v>0</v>
      </c>
      <c r="AA60" s="276">
        <v>0</v>
      </c>
      <c r="AB60" s="276">
        <v>0</v>
      </c>
      <c r="AC60" s="276"/>
      <c r="AD60" s="276">
        <v>0</v>
      </c>
      <c r="AE60" s="276"/>
      <c r="AF60" s="276">
        <v>0</v>
      </c>
      <c r="AG60" s="276">
        <v>0</v>
      </c>
      <c r="AH60" s="283" t="s">
        <v>483</v>
      </c>
      <c r="AJ60" s="281" t="s">
        <v>553</v>
      </c>
      <c r="AK60" s="280" t="s">
        <v>552</v>
      </c>
      <c r="AL60" s="276">
        <v>0.74</v>
      </c>
      <c r="AM60" s="279">
        <v>0</v>
      </c>
      <c r="AN60" s="276">
        <v>0</v>
      </c>
      <c r="AO60" s="276">
        <v>0.74</v>
      </c>
      <c r="AP60" s="279">
        <v>0</v>
      </c>
      <c r="AQ60" s="276">
        <v>0</v>
      </c>
      <c r="AR60" s="276">
        <v>0</v>
      </c>
      <c r="AS60" s="271">
        <v>2</v>
      </c>
      <c r="AT60" s="276">
        <v>0</v>
      </c>
      <c r="AU60" s="279">
        <v>0</v>
      </c>
      <c r="AV60" s="276">
        <v>0</v>
      </c>
      <c r="AW60" s="276">
        <v>0</v>
      </c>
      <c r="AX60" s="279">
        <v>0</v>
      </c>
      <c r="AY60" s="276">
        <v>0</v>
      </c>
      <c r="AZ60" s="276">
        <v>0</v>
      </c>
      <c r="BA60" s="278" t="s">
        <v>551</v>
      </c>
      <c r="BB60" s="276">
        <v>0</v>
      </c>
      <c r="BC60" s="279">
        <v>0</v>
      </c>
      <c r="BD60" s="276">
        <v>0</v>
      </c>
      <c r="BE60" s="276">
        <v>0</v>
      </c>
      <c r="BF60" s="279">
        <v>0</v>
      </c>
      <c r="BG60" s="276">
        <v>0</v>
      </c>
      <c r="BH60" s="276">
        <v>0</v>
      </c>
      <c r="BI60" s="278" t="s">
        <v>550</v>
      </c>
      <c r="BJ60" s="276">
        <v>0</v>
      </c>
      <c r="BK60" s="276">
        <v>0</v>
      </c>
      <c r="BL60" s="276">
        <v>0</v>
      </c>
      <c r="BM60" s="276">
        <v>0</v>
      </c>
      <c r="BN60" s="276">
        <v>0</v>
      </c>
      <c r="BO60" s="276">
        <v>0</v>
      </c>
      <c r="BP60" s="276">
        <v>0</v>
      </c>
    </row>
    <row r="61" spans="1:68" x14ac:dyDescent="0.35">
      <c r="A61" s="277" t="s">
        <v>563</v>
      </c>
      <c r="B61" s="277" t="s">
        <v>562</v>
      </c>
      <c r="C61" s="283" t="s">
        <v>985</v>
      </c>
      <c r="D61" s="277" t="s">
        <v>560</v>
      </c>
      <c r="F61" s="277" t="s">
        <v>984</v>
      </c>
      <c r="K61" s="277" t="s">
        <v>883</v>
      </c>
      <c r="L61" s="277" t="s">
        <v>557</v>
      </c>
      <c r="N61" s="277" t="s">
        <v>884</v>
      </c>
      <c r="O61" s="277" t="s">
        <v>883</v>
      </c>
      <c r="P61" s="277" t="s">
        <v>557</v>
      </c>
      <c r="Q61" s="277" t="s">
        <v>556</v>
      </c>
      <c r="R61" s="277" t="s">
        <v>883</v>
      </c>
      <c r="S61" s="276">
        <v>0</v>
      </c>
      <c r="T61" s="276">
        <v>0</v>
      </c>
      <c r="U61" s="276">
        <v>0</v>
      </c>
      <c r="V61" s="276">
        <v>0</v>
      </c>
      <c r="W61" s="276">
        <v>0</v>
      </c>
      <c r="X61" s="276">
        <v>0</v>
      </c>
      <c r="Y61" s="276">
        <v>0</v>
      </c>
      <c r="Z61" s="276">
        <v>0</v>
      </c>
      <c r="AA61" s="276">
        <v>0</v>
      </c>
      <c r="AB61" s="276">
        <v>0</v>
      </c>
      <c r="AC61" s="276"/>
      <c r="AD61" s="276">
        <v>0</v>
      </c>
      <c r="AE61" s="276"/>
      <c r="AF61" s="276">
        <v>0</v>
      </c>
      <c r="AG61" s="276">
        <v>0</v>
      </c>
      <c r="AH61" s="283" t="s">
        <v>483</v>
      </c>
      <c r="AJ61" s="281" t="s">
        <v>553</v>
      </c>
      <c r="AK61" s="280" t="s">
        <v>552</v>
      </c>
      <c r="AL61" s="276">
        <v>1.18</v>
      </c>
      <c r="AM61" s="279">
        <v>0</v>
      </c>
      <c r="AN61" s="276">
        <v>0</v>
      </c>
      <c r="AO61" s="276">
        <v>1.18</v>
      </c>
      <c r="AP61" s="279">
        <v>0</v>
      </c>
      <c r="AQ61" s="276">
        <v>0</v>
      </c>
      <c r="AR61" s="276">
        <v>0</v>
      </c>
      <c r="AS61" s="271">
        <v>2</v>
      </c>
      <c r="AT61" s="276">
        <v>0</v>
      </c>
      <c r="AU61" s="279">
        <v>0</v>
      </c>
      <c r="AV61" s="276">
        <v>0</v>
      </c>
      <c r="AW61" s="276">
        <v>0</v>
      </c>
      <c r="AX61" s="279">
        <v>0</v>
      </c>
      <c r="AY61" s="276">
        <v>0</v>
      </c>
      <c r="AZ61" s="276">
        <v>0</v>
      </c>
      <c r="BA61" s="278" t="s">
        <v>551</v>
      </c>
      <c r="BB61" s="276">
        <v>0</v>
      </c>
      <c r="BC61" s="279">
        <v>0</v>
      </c>
      <c r="BD61" s="276">
        <v>0</v>
      </c>
      <c r="BE61" s="276">
        <v>0</v>
      </c>
      <c r="BF61" s="279">
        <v>0</v>
      </c>
      <c r="BG61" s="276">
        <v>0</v>
      </c>
      <c r="BH61" s="276">
        <v>0</v>
      </c>
      <c r="BI61" s="278" t="s">
        <v>550</v>
      </c>
      <c r="BJ61" s="276">
        <v>0</v>
      </c>
      <c r="BK61" s="276">
        <v>0</v>
      </c>
      <c r="BL61" s="276">
        <v>0</v>
      </c>
      <c r="BM61" s="276">
        <v>0</v>
      </c>
      <c r="BN61" s="276">
        <v>0</v>
      </c>
      <c r="BO61" s="276">
        <v>0</v>
      </c>
      <c r="BP61" s="276">
        <v>0</v>
      </c>
    </row>
    <row r="62" spans="1:68" x14ac:dyDescent="0.35">
      <c r="A62" s="277" t="s">
        <v>563</v>
      </c>
      <c r="B62" s="277" t="s">
        <v>562</v>
      </c>
      <c r="C62" s="283" t="s">
        <v>983</v>
      </c>
      <c r="D62" s="277" t="s">
        <v>560</v>
      </c>
      <c r="F62" s="277" t="s">
        <v>982</v>
      </c>
      <c r="K62" s="277" t="s">
        <v>883</v>
      </c>
      <c r="L62" s="277" t="s">
        <v>557</v>
      </c>
      <c r="N62" s="277" t="s">
        <v>884</v>
      </c>
      <c r="O62" s="277" t="s">
        <v>883</v>
      </c>
      <c r="P62" s="277" t="s">
        <v>557</v>
      </c>
      <c r="Q62" s="277" t="s">
        <v>556</v>
      </c>
      <c r="R62" s="277" t="s">
        <v>883</v>
      </c>
      <c r="S62" s="276">
        <v>0</v>
      </c>
      <c r="T62" s="276">
        <v>0</v>
      </c>
      <c r="U62" s="276">
        <v>0</v>
      </c>
      <c r="V62" s="276">
        <v>0</v>
      </c>
      <c r="W62" s="276">
        <v>0</v>
      </c>
      <c r="X62" s="276">
        <v>0</v>
      </c>
      <c r="Y62" s="276">
        <v>0</v>
      </c>
      <c r="Z62" s="276">
        <v>0</v>
      </c>
      <c r="AA62" s="276">
        <v>0</v>
      </c>
      <c r="AB62" s="276">
        <v>0</v>
      </c>
      <c r="AC62" s="276"/>
      <c r="AD62" s="276">
        <v>0</v>
      </c>
      <c r="AE62" s="276"/>
      <c r="AF62" s="276">
        <v>0</v>
      </c>
      <c r="AG62" s="276">
        <v>0</v>
      </c>
      <c r="AH62" s="283" t="s">
        <v>483</v>
      </c>
      <c r="AJ62" s="281" t="s">
        <v>553</v>
      </c>
      <c r="AK62" s="280" t="s">
        <v>552</v>
      </c>
      <c r="AL62" s="276">
        <v>0.86</v>
      </c>
      <c r="AM62" s="279">
        <v>0</v>
      </c>
      <c r="AN62" s="276">
        <v>0</v>
      </c>
      <c r="AO62" s="276">
        <v>0.86</v>
      </c>
      <c r="AP62" s="279">
        <v>0</v>
      </c>
      <c r="AQ62" s="276">
        <v>0</v>
      </c>
      <c r="AR62" s="276">
        <v>0</v>
      </c>
      <c r="AS62" s="271">
        <v>2</v>
      </c>
      <c r="AT62" s="276">
        <v>0</v>
      </c>
      <c r="AU62" s="279">
        <v>0</v>
      </c>
      <c r="AV62" s="276">
        <v>0</v>
      </c>
      <c r="AW62" s="276">
        <v>0</v>
      </c>
      <c r="AX62" s="279">
        <v>0</v>
      </c>
      <c r="AY62" s="276">
        <v>0</v>
      </c>
      <c r="AZ62" s="276">
        <v>0</v>
      </c>
      <c r="BA62" s="278" t="s">
        <v>551</v>
      </c>
      <c r="BB62" s="276">
        <v>0</v>
      </c>
      <c r="BC62" s="279">
        <v>0</v>
      </c>
      <c r="BD62" s="276">
        <v>0</v>
      </c>
      <c r="BE62" s="276">
        <v>0</v>
      </c>
      <c r="BF62" s="279">
        <v>0</v>
      </c>
      <c r="BG62" s="276">
        <v>0</v>
      </c>
      <c r="BH62" s="276">
        <v>0</v>
      </c>
      <c r="BI62" s="278" t="s">
        <v>550</v>
      </c>
      <c r="BJ62" s="276">
        <v>0</v>
      </c>
      <c r="BK62" s="276">
        <v>0</v>
      </c>
      <c r="BL62" s="276">
        <v>0</v>
      </c>
      <c r="BM62" s="276">
        <v>0</v>
      </c>
      <c r="BN62" s="276">
        <v>0</v>
      </c>
      <c r="BO62" s="276">
        <v>0</v>
      </c>
      <c r="BP62" s="276">
        <v>0</v>
      </c>
    </row>
    <row r="63" spans="1:68" x14ac:dyDescent="0.35">
      <c r="A63" s="277" t="s">
        <v>563</v>
      </c>
      <c r="B63" s="277" t="s">
        <v>562</v>
      </c>
      <c r="C63" s="283" t="s">
        <v>981</v>
      </c>
      <c r="D63" s="277" t="s">
        <v>560</v>
      </c>
      <c r="F63" s="277" t="s">
        <v>980</v>
      </c>
      <c r="K63" s="277" t="s">
        <v>883</v>
      </c>
      <c r="L63" s="277" t="s">
        <v>557</v>
      </c>
      <c r="N63" s="277" t="s">
        <v>884</v>
      </c>
      <c r="O63" s="277" t="s">
        <v>883</v>
      </c>
      <c r="P63" s="277" t="s">
        <v>557</v>
      </c>
      <c r="Q63" s="277" t="s">
        <v>556</v>
      </c>
      <c r="R63" s="277" t="s">
        <v>883</v>
      </c>
      <c r="S63" s="276">
        <v>0</v>
      </c>
      <c r="T63" s="276">
        <v>0</v>
      </c>
      <c r="U63" s="276">
        <v>0</v>
      </c>
      <c r="V63" s="276">
        <v>0</v>
      </c>
      <c r="W63" s="276">
        <v>0</v>
      </c>
      <c r="X63" s="276">
        <v>0</v>
      </c>
      <c r="Y63" s="276">
        <v>0</v>
      </c>
      <c r="Z63" s="276">
        <v>0</v>
      </c>
      <c r="AA63" s="276">
        <v>0</v>
      </c>
      <c r="AB63" s="276">
        <v>0</v>
      </c>
      <c r="AC63" s="276"/>
      <c r="AD63" s="276">
        <v>0</v>
      </c>
      <c r="AE63" s="276"/>
      <c r="AF63" s="276">
        <v>0</v>
      </c>
      <c r="AG63" s="276">
        <v>0</v>
      </c>
      <c r="AH63" s="283" t="s">
        <v>483</v>
      </c>
      <c r="AJ63" s="281" t="s">
        <v>553</v>
      </c>
      <c r="AK63" s="280" t="s">
        <v>552</v>
      </c>
      <c r="AL63" s="276">
        <v>0</v>
      </c>
      <c r="AM63" s="279">
        <v>0</v>
      </c>
      <c r="AN63" s="276">
        <v>42</v>
      </c>
      <c r="AO63" s="276">
        <v>0</v>
      </c>
      <c r="AP63" s="279">
        <v>0</v>
      </c>
      <c r="AQ63" s="276">
        <v>0</v>
      </c>
      <c r="AR63" s="276">
        <v>0</v>
      </c>
      <c r="AS63" s="271">
        <v>2</v>
      </c>
      <c r="AT63" s="276">
        <v>0</v>
      </c>
      <c r="AU63" s="279">
        <v>0</v>
      </c>
      <c r="AV63" s="276">
        <v>0</v>
      </c>
      <c r="AW63" s="276">
        <v>0</v>
      </c>
      <c r="AX63" s="279">
        <v>0</v>
      </c>
      <c r="AY63" s="276">
        <v>0</v>
      </c>
      <c r="AZ63" s="276">
        <v>0</v>
      </c>
      <c r="BA63" s="278" t="s">
        <v>551</v>
      </c>
      <c r="BB63" s="276">
        <v>0</v>
      </c>
      <c r="BC63" s="279">
        <v>0</v>
      </c>
      <c r="BD63" s="276">
        <v>0</v>
      </c>
      <c r="BE63" s="276">
        <v>0</v>
      </c>
      <c r="BF63" s="279">
        <v>0</v>
      </c>
      <c r="BG63" s="276">
        <v>0</v>
      </c>
      <c r="BH63" s="276">
        <v>0</v>
      </c>
      <c r="BI63" s="278" t="s">
        <v>550</v>
      </c>
      <c r="BJ63" s="276">
        <v>0</v>
      </c>
      <c r="BK63" s="276">
        <v>0</v>
      </c>
      <c r="BL63" s="276">
        <v>0</v>
      </c>
      <c r="BM63" s="276">
        <v>0</v>
      </c>
      <c r="BN63" s="276">
        <v>0</v>
      </c>
      <c r="BO63" s="276">
        <v>0</v>
      </c>
      <c r="BP63" s="276">
        <v>0</v>
      </c>
    </row>
    <row r="64" spans="1:68" x14ac:dyDescent="0.35">
      <c r="A64" s="277" t="s">
        <v>563</v>
      </c>
      <c r="B64" s="277" t="s">
        <v>562</v>
      </c>
      <c r="C64" s="283" t="s">
        <v>979</v>
      </c>
      <c r="D64" s="277" t="s">
        <v>560</v>
      </c>
      <c r="F64" s="277" t="s">
        <v>978</v>
      </c>
      <c r="K64" s="277" t="s">
        <v>883</v>
      </c>
      <c r="L64" s="277" t="s">
        <v>557</v>
      </c>
      <c r="N64" s="277" t="s">
        <v>884</v>
      </c>
      <c r="O64" s="277" t="s">
        <v>883</v>
      </c>
      <c r="P64" s="277" t="s">
        <v>557</v>
      </c>
      <c r="Q64" s="277" t="s">
        <v>556</v>
      </c>
      <c r="R64" s="277" t="s">
        <v>883</v>
      </c>
      <c r="S64" s="276">
        <v>0</v>
      </c>
      <c r="T64" s="276">
        <v>0</v>
      </c>
      <c r="U64" s="276">
        <v>0</v>
      </c>
      <c r="V64" s="276">
        <v>0</v>
      </c>
      <c r="W64" s="276">
        <v>0</v>
      </c>
      <c r="X64" s="276">
        <v>0</v>
      </c>
      <c r="Y64" s="276">
        <v>0</v>
      </c>
      <c r="Z64" s="276">
        <v>0</v>
      </c>
      <c r="AA64" s="276">
        <v>0</v>
      </c>
      <c r="AB64" s="276">
        <v>0</v>
      </c>
      <c r="AC64" s="276"/>
      <c r="AD64" s="276">
        <v>0</v>
      </c>
      <c r="AE64" s="276"/>
      <c r="AF64" s="276">
        <v>0</v>
      </c>
      <c r="AG64" s="276">
        <v>0</v>
      </c>
      <c r="AH64" s="283" t="s">
        <v>483</v>
      </c>
      <c r="AJ64" s="281" t="s">
        <v>553</v>
      </c>
      <c r="AK64" s="280" t="s">
        <v>552</v>
      </c>
      <c r="AL64" s="276">
        <v>0</v>
      </c>
      <c r="AM64" s="279">
        <v>0</v>
      </c>
      <c r="AN64" s="276">
        <v>45</v>
      </c>
      <c r="AO64" s="276">
        <v>0</v>
      </c>
      <c r="AP64" s="279">
        <v>0</v>
      </c>
      <c r="AQ64" s="276">
        <v>0</v>
      </c>
      <c r="AR64" s="276">
        <v>0</v>
      </c>
      <c r="AS64" s="271">
        <v>2</v>
      </c>
      <c r="AT64" s="276">
        <v>0</v>
      </c>
      <c r="AU64" s="279">
        <v>0</v>
      </c>
      <c r="AV64" s="276">
        <v>0</v>
      </c>
      <c r="AW64" s="276">
        <v>0</v>
      </c>
      <c r="AX64" s="279">
        <v>0</v>
      </c>
      <c r="AY64" s="276">
        <v>0</v>
      </c>
      <c r="AZ64" s="276">
        <v>0</v>
      </c>
      <c r="BA64" s="278" t="s">
        <v>551</v>
      </c>
      <c r="BB64" s="276">
        <v>0</v>
      </c>
      <c r="BC64" s="279">
        <v>0</v>
      </c>
      <c r="BD64" s="276">
        <v>0</v>
      </c>
      <c r="BE64" s="276">
        <v>0</v>
      </c>
      <c r="BF64" s="279">
        <v>0</v>
      </c>
      <c r="BG64" s="276">
        <v>0</v>
      </c>
      <c r="BH64" s="276">
        <v>0</v>
      </c>
      <c r="BI64" s="278" t="s">
        <v>550</v>
      </c>
      <c r="BJ64" s="276">
        <v>0</v>
      </c>
      <c r="BK64" s="276">
        <v>0</v>
      </c>
      <c r="BL64" s="276">
        <v>0</v>
      </c>
      <c r="BM64" s="276">
        <v>0</v>
      </c>
      <c r="BN64" s="276">
        <v>0</v>
      </c>
      <c r="BO64" s="276">
        <v>0</v>
      </c>
      <c r="BP64" s="276">
        <v>0</v>
      </c>
    </row>
    <row r="65" spans="1:68" x14ac:dyDescent="0.35">
      <c r="A65" s="277" t="s">
        <v>563</v>
      </c>
      <c r="B65" s="277" t="s">
        <v>562</v>
      </c>
      <c r="C65" s="283" t="s">
        <v>977</v>
      </c>
      <c r="D65" s="277" t="s">
        <v>560</v>
      </c>
      <c r="F65" s="277" t="s">
        <v>976</v>
      </c>
      <c r="K65" s="277" t="s">
        <v>883</v>
      </c>
      <c r="L65" s="277" t="s">
        <v>557</v>
      </c>
      <c r="N65" s="277" t="s">
        <v>884</v>
      </c>
      <c r="O65" s="277" t="s">
        <v>883</v>
      </c>
      <c r="P65" s="277" t="s">
        <v>557</v>
      </c>
      <c r="Q65" s="277" t="s">
        <v>556</v>
      </c>
      <c r="R65" s="277" t="s">
        <v>883</v>
      </c>
      <c r="S65" s="276">
        <v>1134</v>
      </c>
      <c r="T65" s="276">
        <v>0</v>
      </c>
      <c r="U65" s="276">
        <v>0</v>
      </c>
      <c r="V65" s="276">
        <v>0</v>
      </c>
      <c r="W65" s="276">
        <v>0</v>
      </c>
      <c r="X65" s="276">
        <v>0</v>
      </c>
      <c r="Y65" s="276">
        <v>0</v>
      </c>
      <c r="Z65" s="276">
        <v>0</v>
      </c>
      <c r="AA65" s="276">
        <v>0</v>
      </c>
      <c r="AB65" s="276">
        <v>0</v>
      </c>
      <c r="AC65" s="276"/>
      <c r="AD65" s="276">
        <v>0</v>
      </c>
      <c r="AE65" s="276"/>
      <c r="AF65" s="276">
        <v>0</v>
      </c>
      <c r="AG65" s="276">
        <v>0</v>
      </c>
      <c r="AH65" s="283" t="s">
        <v>483</v>
      </c>
      <c r="AJ65" s="281" t="s">
        <v>553</v>
      </c>
      <c r="AK65" s="280" t="s">
        <v>552</v>
      </c>
      <c r="AL65" s="276">
        <v>0</v>
      </c>
      <c r="AM65" s="279">
        <v>0</v>
      </c>
      <c r="AN65" s="276">
        <v>16</v>
      </c>
      <c r="AO65" s="276">
        <v>0</v>
      </c>
      <c r="AP65" s="279">
        <v>0</v>
      </c>
      <c r="AQ65" s="276">
        <v>0</v>
      </c>
      <c r="AR65" s="276">
        <v>0</v>
      </c>
      <c r="AS65" s="271">
        <v>2</v>
      </c>
      <c r="AT65" s="276">
        <v>0</v>
      </c>
      <c r="AU65" s="279">
        <v>0</v>
      </c>
      <c r="AV65" s="276">
        <v>0</v>
      </c>
      <c r="AW65" s="276">
        <v>0</v>
      </c>
      <c r="AX65" s="279">
        <v>0</v>
      </c>
      <c r="AY65" s="276">
        <v>0</v>
      </c>
      <c r="AZ65" s="276">
        <v>0</v>
      </c>
      <c r="BA65" s="278" t="s">
        <v>551</v>
      </c>
      <c r="BB65" s="276">
        <v>0</v>
      </c>
      <c r="BC65" s="279">
        <v>0</v>
      </c>
      <c r="BD65" s="276">
        <v>0</v>
      </c>
      <c r="BE65" s="276">
        <v>0</v>
      </c>
      <c r="BF65" s="279">
        <v>0</v>
      </c>
      <c r="BG65" s="276">
        <v>0</v>
      </c>
      <c r="BH65" s="276">
        <v>0</v>
      </c>
      <c r="BI65" s="278" t="s">
        <v>550</v>
      </c>
      <c r="BJ65" s="276">
        <v>0</v>
      </c>
      <c r="BK65" s="276">
        <v>0</v>
      </c>
      <c r="BL65" s="276">
        <v>0</v>
      </c>
      <c r="BM65" s="276">
        <v>0</v>
      </c>
      <c r="BN65" s="276">
        <v>0</v>
      </c>
      <c r="BO65" s="276">
        <v>0</v>
      </c>
      <c r="BP65" s="276">
        <v>0</v>
      </c>
    </row>
    <row r="66" spans="1:68" x14ac:dyDescent="0.35">
      <c r="A66" s="277" t="s">
        <v>563</v>
      </c>
      <c r="B66" s="277" t="s">
        <v>562</v>
      </c>
      <c r="C66" s="283" t="s">
        <v>975</v>
      </c>
      <c r="D66" s="277" t="s">
        <v>560</v>
      </c>
      <c r="F66" s="277" t="s">
        <v>974</v>
      </c>
      <c r="K66" s="277" t="s">
        <v>883</v>
      </c>
      <c r="L66" s="277" t="s">
        <v>557</v>
      </c>
      <c r="N66" s="277" t="s">
        <v>884</v>
      </c>
      <c r="O66" s="277" t="s">
        <v>883</v>
      </c>
      <c r="P66" s="277" t="s">
        <v>557</v>
      </c>
      <c r="Q66" s="277" t="s">
        <v>556</v>
      </c>
      <c r="R66" s="277" t="s">
        <v>883</v>
      </c>
      <c r="S66" s="276">
        <v>0</v>
      </c>
      <c r="T66" s="276">
        <v>0</v>
      </c>
      <c r="U66" s="276">
        <v>0</v>
      </c>
      <c r="V66" s="276">
        <v>0</v>
      </c>
      <c r="W66" s="276">
        <v>0</v>
      </c>
      <c r="X66" s="276">
        <v>0</v>
      </c>
      <c r="Y66" s="276">
        <v>0</v>
      </c>
      <c r="Z66" s="276">
        <v>0</v>
      </c>
      <c r="AA66" s="276">
        <v>0</v>
      </c>
      <c r="AB66" s="276">
        <v>0</v>
      </c>
      <c r="AC66" s="276"/>
      <c r="AD66" s="276">
        <v>0</v>
      </c>
      <c r="AE66" s="276"/>
      <c r="AF66" s="276">
        <v>0</v>
      </c>
      <c r="AG66" s="276">
        <v>0</v>
      </c>
      <c r="AH66" s="283" t="s">
        <v>86</v>
      </c>
      <c r="AI66" s="282" t="s">
        <v>969</v>
      </c>
      <c r="AJ66" s="281" t="s">
        <v>553</v>
      </c>
      <c r="AK66" s="280" t="s">
        <v>552</v>
      </c>
      <c r="AL66" s="276">
        <v>1.3</v>
      </c>
      <c r="AM66" s="279">
        <v>0</v>
      </c>
      <c r="AN66" s="276">
        <v>0</v>
      </c>
      <c r="AO66" s="276">
        <v>1.3</v>
      </c>
      <c r="AP66" s="279">
        <v>0</v>
      </c>
      <c r="AQ66" s="276">
        <v>0</v>
      </c>
      <c r="AR66" s="276">
        <v>0</v>
      </c>
      <c r="AS66" s="271">
        <v>2</v>
      </c>
      <c r="AT66" s="276">
        <v>0</v>
      </c>
      <c r="AU66" s="279">
        <v>0</v>
      </c>
      <c r="AV66" s="276">
        <v>0</v>
      </c>
      <c r="AW66" s="276">
        <v>0</v>
      </c>
      <c r="AX66" s="279">
        <v>0</v>
      </c>
      <c r="AY66" s="276">
        <v>0</v>
      </c>
      <c r="AZ66" s="276">
        <v>0</v>
      </c>
      <c r="BA66" s="278" t="s">
        <v>551</v>
      </c>
      <c r="BB66" s="276">
        <v>0</v>
      </c>
      <c r="BC66" s="279">
        <v>0</v>
      </c>
      <c r="BD66" s="276">
        <v>0</v>
      </c>
      <c r="BE66" s="276">
        <v>0</v>
      </c>
      <c r="BF66" s="279">
        <v>0</v>
      </c>
      <c r="BG66" s="276">
        <v>0</v>
      </c>
      <c r="BH66" s="276">
        <v>0</v>
      </c>
      <c r="BI66" s="278" t="s">
        <v>550</v>
      </c>
      <c r="BJ66" s="276">
        <v>0</v>
      </c>
      <c r="BK66" s="276">
        <v>0</v>
      </c>
      <c r="BL66" s="276">
        <v>0</v>
      </c>
      <c r="BM66" s="276">
        <v>0</v>
      </c>
      <c r="BN66" s="276">
        <v>0</v>
      </c>
      <c r="BO66" s="276">
        <v>0</v>
      </c>
      <c r="BP66" s="276">
        <v>0</v>
      </c>
    </row>
    <row r="67" spans="1:68" x14ac:dyDescent="0.35">
      <c r="A67" s="277" t="s">
        <v>563</v>
      </c>
      <c r="B67" s="277" t="s">
        <v>562</v>
      </c>
      <c r="C67" s="283" t="s">
        <v>973</v>
      </c>
      <c r="D67" s="277" t="s">
        <v>560</v>
      </c>
      <c r="F67" s="277" t="s">
        <v>972</v>
      </c>
      <c r="K67" s="277" t="s">
        <v>883</v>
      </c>
      <c r="L67" s="277" t="s">
        <v>557</v>
      </c>
      <c r="N67" s="277" t="s">
        <v>884</v>
      </c>
      <c r="O67" s="277" t="s">
        <v>883</v>
      </c>
      <c r="P67" s="277" t="s">
        <v>557</v>
      </c>
      <c r="Q67" s="277" t="s">
        <v>556</v>
      </c>
      <c r="R67" s="277" t="s">
        <v>883</v>
      </c>
      <c r="S67" s="276">
        <v>0</v>
      </c>
      <c r="T67" s="276">
        <v>0</v>
      </c>
      <c r="U67" s="276">
        <v>0</v>
      </c>
      <c r="V67" s="276">
        <v>0</v>
      </c>
      <c r="W67" s="276">
        <v>0</v>
      </c>
      <c r="X67" s="276">
        <v>0</v>
      </c>
      <c r="Y67" s="276">
        <v>0</v>
      </c>
      <c r="Z67" s="276">
        <v>0</v>
      </c>
      <c r="AA67" s="276">
        <v>0</v>
      </c>
      <c r="AB67" s="276">
        <v>0</v>
      </c>
      <c r="AC67" s="276"/>
      <c r="AD67" s="276">
        <v>0</v>
      </c>
      <c r="AE67" s="276"/>
      <c r="AF67" s="276">
        <v>0</v>
      </c>
      <c r="AG67" s="276">
        <v>0</v>
      </c>
      <c r="AH67" s="283" t="s">
        <v>86</v>
      </c>
      <c r="AI67" s="282" t="s">
        <v>967</v>
      </c>
      <c r="AJ67" s="281" t="s">
        <v>553</v>
      </c>
      <c r="AK67" s="280" t="s">
        <v>552</v>
      </c>
      <c r="AL67" s="276">
        <v>2.2000000000000002</v>
      </c>
      <c r="AM67" s="279">
        <v>0</v>
      </c>
      <c r="AN67" s="276">
        <v>0</v>
      </c>
      <c r="AO67" s="276">
        <v>2.2000000000000002</v>
      </c>
      <c r="AP67" s="279">
        <v>0</v>
      </c>
      <c r="AQ67" s="276">
        <v>0</v>
      </c>
      <c r="AR67" s="276">
        <v>0</v>
      </c>
      <c r="AS67" s="271">
        <v>2</v>
      </c>
      <c r="AT67" s="276">
        <v>0</v>
      </c>
      <c r="AU67" s="279">
        <v>0</v>
      </c>
      <c r="AV67" s="276">
        <v>0</v>
      </c>
      <c r="AW67" s="276">
        <v>0</v>
      </c>
      <c r="AX67" s="279">
        <v>0</v>
      </c>
      <c r="AY67" s="276">
        <v>0</v>
      </c>
      <c r="AZ67" s="276">
        <v>0</v>
      </c>
      <c r="BA67" s="278" t="s">
        <v>551</v>
      </c>
      <c r="BB67" s="276">
        <v>0</v>
      </c>
      <c r="BC67" s="279">
        <v>0</v>
      </c>
      <c r="BD67" s="276">
        <v>0</v>
      </c>
      <c r="BE67" s="276">
        <v>0</v>
      </c>
      <c r="BF67" s="279">
        <v>0</v>
      </c>
      <c r="BG67" s="276">
        <v>0</v>
      </c>
      <c r="BH67" s="276">
        <v>0</v>
      </c>
      <c r="BI67" s="278" t="s">
        <v>550</v>
      </c>
      <c r="BJ67" s="276">
        <v>0</v>
      </c>
      <c r="BK67" s="276">
        <v>0</v>
      </c>
      <c r="BL67" s="276">
        <v>0</v>
      </c>
      <c r="BM67" s="276">
        <v>0</v>
      </c>
      <c r="BN67" s="276">
        <v>0</v>
      </c>
      <c r="BO67" s="276">
        <v>0</v>
      </c>
      <c r="BP67" s="276">
        <v>0</v>
      </c>
    </row>
    <row r="68" spans="1:68" x14ac:dyDescent="0.35">
      <c r="A68" s="277" t="s">
        <v>563</v>
      </c>
      <c r="B68" s="277" t="s">
        <v>562</v>
      </c>
      <c r="C68" s="283" t="s">
        <v>971</v>
      </c>
      <c r="D68" s="277" t="s">
        <v>560</v>
      </c>
      <c r="F68" s="277" t="s">
        <v>970</v>
      </c>
      <c r="K68" s="277" t="s">
        <v>883</v>
      </c>
      <c r="L68" s="277" t="s">
        <v>557</v>
      </c>
      <c r="N68" s="277" t="s">
        <v>884</v>
      </c>
      <c r="O68" s="277" t="s">
        <v>883</v>
      </c>
      <c r="P68" s="277" t="s">
        <v>557</v>
      </c>
      <c r="Q68" s="277" t="s">
        <v>556</v>
      </c>
      <c r="R68" s="277" t="s">
        <v>883</v>
      </c>
      <c r="S68" s="276">
        <v>0</v>
      </c>
      <c r="T68" s="276">
        <v>0</v>
      </c>
      <c r="U68" s="276">
        <v>0</v>
      </c>
      <c r="V68" s="276">
        <v>0</v>
      </c>
      <c r="W68" s="276">
        <v>0</v>
      </c>
      <c r="X68" s="276">
        <v>0</v>
      </c>
      <c r="Y68" s="276">
        <v>0</v>
      </c>
      <c r="Z68" s="276">
        <v>0</v>
      </c>
      <c r="AA68" s="276">
        <v>0</v>
      </c>
      <c r="AB68" s="276">
        <v>0</v>
      </c>
      <c r="AC68" s="276"/>
      <c r="AD68" s="276">
        <v>0</v>
      </c>
      <c r="AE68" s="276"/>
      <c r="AF68" s="276">
        <v>0</v>
      </c>
      <c r="AG68" s="276">
        <v>0</v>
      </c>
      <c r="AH68" s="283" t="s">
        <v>86</v>
      </c>
      <c r="AI68" s="282" t="s">
        <v>965</v>
      </c>
      <c r="AJ68" s="281" t="s">
        <v>553</v>
      </c>
      <c r="AK68" s="280" t="s">
        <v>552</v>
      </c>
      <c r="AL68" s="276">
        <v>1.32</v>
      </c>
      <c r="AM68" s="279">
        <v>0</v>
      </c>
      <c r="AN68" s="276">
        <v>0</v>
      </c>
      <c r="AO68" s="276">
        <v>1.32</v>
      </c>
      <c r="AP68" s="279">
        <v>0</v>
      </c>
      <c r="AQ68" s="276">
        <v>0</v>
      </c>
      <c r="AR68" s="276">
        <v>0</v>
      </c>
      <c r="AS68" s="271">
        <v>2</v>
      </c>
      <c r="AT68" s="276">
        <v>0</v>
      </c>
      <c r="AU68" s="279">
        <v>0</v>
      </c>
      <c r="AV68" s="276">
        <v>0</v>
      </c>
      <c r="AW68" s="276">
        <v>0</v>
      </c>
      <c r="AX68" s="279">
        <v>0</v>
      </c>
      <c r="AY68" s="276">
        <v>0</v>
      </c>
      <c r="AZ68" s="276">
        <v>0</v>
      </c>
      <c r="BA68" s="278" t="s">
        <v>551</v>
      </c>
      <c r="BB68" s="276">
        <v>0</v>
      </c>
      <c r="BC68" s="279">
        <v>0</v>
      </c>
      <c r="BD68" s="276">
        <v>0</v>
      </c>
      <c r="BE68" s="276">
        <v>0</v>
      </c>
      <c r="BF68" s="279">
        <v>0</v>
      </c>
      <c r="BG68" s="276">
        <v>0</v>
      </c>
      <c r="BH68" s="276">
        <v>0</v>
      </c>
      <c r="BI68" s="278" t="s">
        <v>550</v>
      </c>
      <c r="BJ68" s="276">
        <v>0</v>
      </c>
      <c r="BK68" s="276">
        <v>0</v>
      </c>
      <c r="BL68" s="276">
        <v>0</v>
      </c>
      <c r="BM68" s="276">
        <v>0</v>
      </c>
      <c r="BN68" s="276">
        <v>0</v>
      </c>
      <c r="BO68" s="276">
        <v>0</v>
      </c>
      <c r="BP68" s="276">
        <v>0</v>
      </c>
    </row>
    <row r="69" spans="1:68" x14ac:dyDescent="0.35">
      <c r="A69" s="277" t="s">
        <v>563</v>
      </c>
      <c r="B69" s="277" t="s">
        <v>562</v>
      </c>
      <c r="C69" s="283" t="s">
        <v>969</v>
      </c>
      <c r="D69" s="277" t="s">
        <v>560</v>
      </c>
      <c r="F69" s="277" t="s">
        <v>968</v>
      </c>
      <c r="K69" s="277" t="s">
        <v>883</v>
      </c>
      <c r="L69" s="277" t="s">
        <v>557</v>
      </c>
      <c r="N69" s="277" t="s">
        <v>884</v>
      </c>
      <c r="O69" s="277" t="s">
        <v>883</v>
      </c>
      <c r="P69" s="277" t="s">
        <v>557</v>
      </c>
      <c r="Q69" s="277" t="s">
        <v>556</v>
      </c>
      <c r="R69" s="277" t="s">
        <v>883</v>
      </c>
      <c r="S69" s="276">
        <v>0</v>
      </c>
      <c r="T69" s="276">
        <v>0</v>
      </c>
      <c r="U69" s="276">
        <v>0</v>
      </c>
      <c r="V69" s="276">
        <v>0</v>
      </c>
      <c r="W69" s="276">
        <v>0</v>
      </c>
      <c r="X69" s="276">
        <v>0</v>
      </c>
      <c r="Y69" s="276">
        <v>0</v>
      </c>
      <c r="Z69" s="276">
        <v>0</v>
      </c>
      <c r="AA69" s="276">
        <v>0</v>
      </c>
      <c r="AB69" s="276">
        <v>0</v>
      </c>
      <c r="AC69" s="276"/>
      <c r="AD69" s="276">
        <v>0</v>
      </c>
      <c r="AE69" s="276"/>
      <c r="AF69" s="276">
        <v>0</v>
      </c>
      <c r="AG69" s="276">
        <v>0</v>
      </c>
      <c r="AH69" s="283" t="s">
        <v>483</v>
      </c>
      <c r="AJ69" s="281" t="s">
        <v>553</v>
      </c>
      <c r="AK69" s="280" t="s">
        <v>552</v>
      </c>
      <c r="AL69" s="276">
        <v>0.84</v>
      </c>
      <c r="AM69" s="279">
        <v>0</v>
      </c>
      <c r="AN69" s="276">
        <v>0</v>
      </c>
      <c r="AO69" s="276">
        <v>0.84</v>
      </c>
      <c r="AP69" s="279">
        <v>0</v>
      </c>
      <c r="AQ69" s="276">
        <v>0</v>
      </c>
      <c r="AR69" s="276">
        <v>0</v>
      </c>
      <c r="AS69" s="271">
        <v>2</v>
      </c>
      <c r="AT69" s="276">
        <v>0</v>
      </c>
      <c r="AU69" s="279">
        <v>0</v>
      </c>
      <c r="AV69" s="276">
        <v>0</v>
      </c>
      <c r="AW69" s="276">
        <v>0</v>
      </c>
      <c r="AX69" s="279">
        <v>0</v>
      </c>
      <c r="AY69" s="276">
        <v>0</v>
      </c>
      <c r="AZ69" s="276">
        <v>0</v>
      </c>
      <c r="BA69" s="278" t="s">
        <v>551</v>
      </c>
      <c r="BB69" s="276">
        <v>0</v>
      </c>
      <c r="BC69" s="279">
        <v>0</v>
      </c>
      <c r="BD69" s="276">
        <v>0</v>
      </c>
      <c r="BE69" s="276">
        <v>0</v>
      </c>
      <c r="BF69" s="279">
        <v>0</v>
      </c>
      <c r="BG69" s="276">
        <v>0</v>
      </c>
      <c r="BH69" s="276">
        <v>0</v>
      </c>
      <c r="BI69" s="278" t="s">
        <v>550</v>
      </c>
      <c r="BJ69" s="276">
        <v>0</v>
      </c>
      <c r="BK69" s="276">
        <v>0</v>
      </c>
      <c r="BL69" s="276">
        <v>0</v>
      </c>
      <c r="BM69" s="276">
        <v>0</v>
      </c>
      <c r="BN69" s="276">
        <v>0</v>
      </c>
      <c r="BO69" s="276">
        <v>0</v>
      </c>
      <c r="BP69" s="276">
        <v>0</v>
      </c>
    </row>
    <row r="70" spans="1:68" x14ac:dyDescent="0.35">
      <c r="A70" s="277" t="s">
        <v>563</v>
      </c>
      <c r="B70" s="277" t="s">
        <v>562</v>
      </c>
      <c r="C70" s="283" t="s">
        <v>967</v>
      </c>
      <c r="D70" s="277" t="s">
        <v>560</v>
      </c>
      <c r="F70" s="277" t="s">
        <v>966</v>
      </c>
      <c r="K70" s="277" t="s">
        <v>883</v>
      </c>
      <c r="L70" s="277" t="s">
        <v>557</v>
      </c>
      <c r="N70" s="277" t="s">
        <v>884</v>
      </c>
      <c r="O70" s="277" t="s">
        <v>883</v>
      </c>
      <c r="P70" s="277" t="s">
        <v>557</v>
      </c>
      <c r="Q70" s="277" t="s">
        <v>556</v>
      </c>
      <c r="R70" s="277" t="s">
        <v>883</v>
      </c>
      <c r="S70" s="276">
        <v>0</v>
      </c>
      <c r="T70" s="276">
        <v>0</v>
      </c>
      <c r="U70" s="276">
        <v>0</v>
      </c>
      <c r="V70" s="276">
        <v>0</v>
      </c>
      <c r="W70" s="276">
        <v>0</v>
      </c>
      <c r="X70" s="276">
        <v>0</v>
      </c>
      <c r="Y70" s="276">
        <v>0</v>
      </c>
      <c r="Z70" s="276">
        <v>0</v>
      </c>
      <c r="AA70" s="276">
        <v>0</v>
      </c>
      <c r="AB70" s="276">
        <v>0</v>
      </c>
      <c r="AC70" s="276"/>
      <c r="AD70" s="276">
        <v>0</v>
      </c>
      <c r="AE70" s="276"/>
      <c r="AF70" s="276">
        <v>0</v>
      </c>
      <c r="AG70" s="276">
        <v>0</v>
      </c>
      <c r="AH70" s="283" t="s">
        <v>483</v>
      </c>
      <c r="AJ70" s="281" t="s">
        <v>553</v>
      </c>
      <c r="AK70" s="280" t="s">
        <v>552</v>
      </c>
      <c r="AL70" s="276">
        <v>1.6</v>
      </c>
      <c r="AM70" s="279">
        <v>0</v>
      </c>
      <c r="AN70" s="276">
        <v>0</v>
      </c>
      <c r="AO70" s="276">
        <v>1.6</v>
      </c>
      <c r="AP70" s="279">
        <v>0</v>
      </c>
      <c r="AQ70" s="276">
        <v>0</v>
      </c>
      <c r="AR70" s="276">
        <v>0</v>
      </c>
      <c r="AS70" s="271">
        <v>2</v>
      </c>
      <c r="AT70" s="276">
        <v>0</v>
      </c>
      <c r="AU70" s="279">
        <v>0</v>
      </c>
      <c r="AV70" s="276">
        <v>0</v>
      </c>
      <c r="AW70" s="276">
        <v>0</v>
      </c>
      <c r="AX70" s="279">
        <v>0</v>
      </c>
      <c r="AY70" s="276">
        <v>0</v>
      </c>
      <c r="AZ70" s="276">
        <v>0</v>
      </c>
      <c r="BA70" s="278" t="s">
        <v>551</v>
      </c>
      <c r="BB70" s="276">
        <v>0</v>
      </c>
      <c r="BC70" s="279">
        <v>0</v>
      </c>
      <c r="BD70" s="276">
        <v>0</v>
      </c>
      <c r="BE70" s="276">
        <v>0</v>
      </c>
      <c r="BF70" s="279">
        <v>0</v>
      </c>
      <c r="BG70" s="276">
        <v>0</v>
      </c>
      <c r="BH70" s="276">
        <v>0</v>
      </c>
      <c r="BI70" s="278" t="s">
        <v>550</v>
      </c>
      <c r="BJ70" s="276">
        <v>0</v>
      </c>
      <c r="BK70" s="276">
        <v>0</v>
      </c>
      <c r="BL70" s="276">
        <v>0</v>
      </c>
      <c r="BM70" s="276">
        <v>0</v>
      </c>
      <c r="BN70" s="276">
        <v>0</v>
      </c>
      <c r="BO70" s="276">
        <v>0</v>
      </c>
      <c r="BP70" s="276">
        <v>0</v>
      </c>
    </row>
    <row r="71" spans="1:68" x14ac:dyDescent="0.35">
      <c r="A71" s="277" t="s">
        <v>563</v>
      </c>
      <c r="B71" s="277" t="s">
        <v>562</v>
      </c>
      <c r="C71" s="283" t="s">
        <v>965</v>
      </c>
      <c r="D71" s="277" t="s">
        <v>560</v>
      </c>
      <c r="F71" s="277" t="s">
        <v>964</v>
      </c>
      <c r="K71" s="277" t="s">
        <v>883</v>
      </c>
      <c r="L71" s="277" t="s">
        <v>557</v>
      </c>
      <c r="N71" s="277" t="s">
        <v>884</v>
      </c>
      <c r="O71" s="277" t="s">
        <v>883</v>
      </c>
      <c r="P71" s="277" t="s">
        <v>557</v>
      </c>
      <c r="Q71" s="277" t="s">
        <v>556</v>
      </c>
      <c r="R71" s="277" t="s">
        <v>883</v>
      </c>
      <c r="S71" s="276">
        <v>0</v>
      </c>
      <c r="T71" s="276">
        <v>0</v>
      </c>
      <c r="U71" s="276">
        <v>0</v>
      </c>
      <c r="V71" s="276">
        <v>0</v>
      </c>
      <c r="W71" s="276">
        <v>0</v>
      </c>
      <c r="X71" s="276">
        <v>0</v>
      </c>
      <c r="Y71" s="276">
        <v>0</v>
      </c>
      <c r="Z71" s="276">
        <v>0</v>
      </c>
      <c r="AA71" s="276">
        <v>0</v>
      </c>
      <c r="AB71" s="276">
        <v>0</v>
      </c>
      <c r="AC71" s="276"/>
      <c r="AD71" s="276">
        <v>0</v>
      </c>
      <c r="AE71" s="276"/>
      <c r="AF71" s="276">
        <v>0</v>
      </c>
      <c r="AG71" s="276">
        <v>0</v>
      </c>
      <c r="AH71" s="283" t="s">
        <v>483</v>
      </c>
      <c r="AJ71" s="281" t="s">
        <v>553</v>
      </c>
      <c r="AK71" s="280" t="s">
        <v>552</v>
      </c>
      <c r="AL71" s="276">
        <v>1</v>
      </c>
      <c r="AM71" s="279">
        <v>0</v>
      </c>
      <c r="AN71" s="276">
        <v>0</v>
      </c>
      <c r="AO71" s="276">
        <v>1</v>
      </c>
      <c r="AP71" s="279">
        <v>0</v>
      </c>
      <c r="AQ71" s="276">
        <v>0</v>
      </c>
      <c r="AR71" s="276">
        <v>0</v>
      </c>
      <c r="AS71" s="271">
        <v>2</v>
      </c>
      <c r="AT71" s="276">
        <v>0</v>
      </c>
      <c r="AU71" s="279">
        <v>0</v>
      </c>
      <c r="AV71" s="276">
        <v>0</v>
      </c>
      <c r="AW71" s="276">
        <v>0</v>
      </c>
      <c r="AX71" s="279">
        <v>0</v>
      </c>
      <c r="AY71" s="276">
        <v>0</v>
      </c>
      <c r="AZ71" s="276">
        <v>0</v>
      </c>
      <c r="BA71" s="278" t="s">
        <v>551</v>
      </c>
      <c r="BB71" s="276">
        <v>0</v>
      </c>
      <c r="BC71" s="279">
        <v>0</v>
      </c>
      <c r="BD71" s="276">
        <v>0</v>
      </c>
      <c r="BE71" s="276">
        <v>0</v>
      </c>
      <c r="BF71" s="279">
        <v>0</v>
      </c>
      <c r="BG71" s="276">
        <v>0</v>
      </c>
      <c r="BH71" s="276">
        <v>0</v>
      </c>
      <c r="BI71" s="278" t="s">
        <v>550</v>
      </c>
      <c r="BJ71" s="276">
        <v>0</v>
      </c>
      <c r="BK71" s="276">
        <v>0</v>
      </c>
      <c r="BL71" s="276">
        <v>0</v>
      </c>
      <c r="BM71" s="276">
        <v>0</v>
      </c>
      <c r="BN71" s="276">
        <v>0</v>
      </c>
      <c r="BO71" s="276">
        <v>0</v>
      </c>
      <c r="BP71" s="276">
        <v>0</v>
      </c>
    </row>
    <row r="72" spans="1:68" x14ac:dyDescent="0.35">
      <c r="A72" s="277" t="s">
        <v>563</v>
      </c>
      <c r="B72" s="277" t="s">
        <v>562</v>
      </c>
      <c r="C72" s="283" t="s">
        <v>963</v>
      </c>
      <c r="D72" s="277" t="s">
        <v>560</v>
      </c>
      <c r="F72" s="277" t="s">
        <v>962</v>
      </c>
      <c r="K72" s="277" t="s">
        <v>883</v>
      </c>
      <c r="L72" s="277" t="s">
        <v>557</v>
      </c>
      <c r="N72" s="277" t="s">
        <v>884</v>
      </c>
      <c r="O72" s="277" t="s">
        <v>883</v>
      </c>
      <c r="P72" s="277" t="s">
        <v>557</v>
      </c>
      <c r="Q72" s="277" t="s">
        <v>556</v>
      </c>
      <c r="R72" s="277" t="s">
        <v>883</v>
      </c>
      <c r="S72" s="276">
        <v>320</v>
      </c>
      <c r="T72" s="276">
        <v>0</v>
      </c>
      <c r="U72" s="276">
        <v>0</v>
      </c>
      <c r="V72" s="276">
        <v>0</v>
      </c>
      <c r="W72" s="276">
        <v>0</v>
      </c>
      <c r="X72" s="276">
        <v>0</v>
      </c>
      <c r="Y72" s="276">
        <v>0</v>
      </c>
      <c r="Z72" s="276">
        <v>0</v>
      </c>
      <c r="AA72" s="276">
        <v>0</v>
      </c>
      <c r="AB72" s="276">
        <v>0</v>
      </c>
      <c r="AC72" s="276"/>
      <c r="AD72" s="276">
        <v>0</v>
      </c>
      <c r="AE72" s="276"/>
      <c r="AF72" s="276">
        <v>0</v>
      </c>
      <c r="AG72" s="276">
        <v>0</v>
      </c>
      <c r="AH72" s="283" t="s">
        <v>483</v>
      </c>
      <c r="AJ72" s="281" t="s">
        <v>553</v>
      </c>
      <c r="AK72" s="280" t="s">
        <v>552</v>
      </c>
      <c r="AL72" s="276">
        <v>0</v>
      </c>
      <c r="AM72" s="279">
        <v>0</v>
      </c>
      <c r="AN72" s="276">
        <v>0</v>
      </c>
      <c r="AO72" s="276">
        <v>0</v>
      </c>
      <c r="AP72" s="279">
        <v>0</v>
      </c>
      <c r="AQ72" s="276">
        <v>0</v>
      </c>
      <c r="AR72" s="276">
        <v>0</v>
      </c>
      <c r="AS72" s="271">
        <v>2</v>
      </c>
      <c r="AT72" s="276">
        <v>0</v>
      </c>
      <c r="AU72" s="279">
        <v>0</v>
      </c>
      <c r="AV72" s="276">
        <v>0</v>
      </c>
      <c r="AW72" s="276">
        <v>0</v>
      </c>
      <c r="AX72" s="279">
        <v>0</v>
      </c>
      <c r="AY72" s="276">
        <v>0</v>
      </c>
      <c r="AZ72" s="276">
        <v>0</v>
      </c>
      <c r="BA72" s="278" t="s">
        <v>551</v>
      </c>
      <c r="BB72" s="276">
        <v>0</v>
      </c>
      <c r="BC72" s="279">
        <v>0</v>
      </c>
      <c r="BD72" s="276">
        <v>0</v>
      </c>
      <c r="BE72" s="276">
        <v>0</v>
      </c>
      <c r="BF72" s="279">
        <v>0</v>
      </c>
      <c r="BG72" s="276">
        <v>0</v>
      </c>
      <c r="BH72" s="276">
        <v>0</v>
      </c>
      <c r="BI72" s="278" t="s">
        <v>550</v>
      </c>
      <c r="BJ72" s="276">
        <v>0</v>
      </c>
      <c r="BK72" s="276">
        <v>0</v>
      </c>
      <c r="BL72" s="276">
        <v>0</v>
      </c>
      <c r="BM72" s="276">
        <v>0</v>
      </c>
      <c r="BN72" s="276">
        <v>0</v>
      </c>
      <c r="BO72" s="276">
        <v>0</v>
      </c>
      <c r="BP72" s="276">
        <v>0</v>
      </c>
    </row>
    <row r="73" spans="1:68" x14ac:dyDescent="0.35">
      <c r="A73" s="277" t="s">
        <v>563</v>
      </c>
      <c r="B73" s="277" t="s">
        <v>562</v>
      </c>
      <c r="C73" s="283" t="s">
        <v>961</v>
      </c>
      <c r="D73" s="277" t="s">
        <v>560</v>
      </c>
      <c r="F73" s="277" t="s">
        <v>960</v>
      </c>
      <c r="K73" s="277" t="s">
        <v>883</v>
      </c>
      <c r="L73" s="277" t="s">
        <v>557</v>
      </c>
      <c r="N73" s="277" t="s">
        <v>884</v>
      </c>
      <c r="O73" s="277" t="s">
        <v>883</v>
      </c>
      <c r="P73" s="277" t="s">
        <v>557</v>
      </c>
      <c r="Q73" s="277" t="s">
        <v>556</v>
      </c>
      <c r="R73" s="277" t="s">
        <v>883</v>
      </c>
      <c r="S73" s="276">
        <v>0</v>
      </c>
      <c r="T73" s="276">
        <v>0</v>
      </c>
      <c r="U73" s="276">
        <v>0</v>
      </c>
      <c r="V73" s="276">
        <v>0</v>
      </c>
      <c r="W73" s="276">
        <v>0</v>
      </c>
      <c r="X73" s="276">
        <v>0</v>
      </c>
      <c r="Y73" s="276">
        <v>0</v>
      </c>
      <c r="Z73" s="276">
        <v>0</v>
      </c>
      <c r="AA73" s="276">
        <v>0</v>
      </c>
      <c r="AB73" s="276">
        <v>0</v>
      </c>
      <c r="AC73" s="276"/>
      <c r="AD73" s="276">
        <v>0</v>
      </c>
      <c r="AE73" s="276"/>
      <c r="AF73" s="276">
        <v>0</v>
      </c>
      <c r="AG73" s="276">
        <v>0</v>
      </c>
      <c r="AH73" s="283" t="s">
        <v>86</v>
      </c>
      <c r="AI73" s="282" t="s">
        <v>955</v>
      </c>
      <c r="AJ73" s="281" t="s">
        <v>553</v>
      </c>
      <c r="AK73" s="280" t="s">
        <v>552</v>
      </c>
      <c r="AL73" s="276">
        <v>1.1000000000000001</v>
      </c>
      <c r="AM73" s="279">
        <v>0</v>
      </c>
      <c r="AN73" s="276">
        <v>0</v>
      </c>
      <c r="AO73" s="276">
        <v>1.1000000000000001</v>
      </c>
      <c r="AP73" s="279">
        <v>0</v>
      </c>
      <c r="AQ73" s="276">
        <v>0</v>
      </c>
      <c r="AR73" s="276">
        <v>0</v>
      </c>
      <c r="AS73" s="271">
        <v>2</v>
      </c>
      <c r="AT73" s="276">
        <v>0</v>
      </c>
      <c r="AU73" s="279">
        <v>0</v>
      </c>
      <c r="AV73" s="276">
        <v>0</v>
      </c>
      <c r="AW73" s="276">
        <v>0</v>
      </c>
      <c r="AX73" s="279">
        <v>0</v>
      </c>
      <c r="AY73" s="276">
        <v>0</v>
      </c>
      <c r="AZ73" s="276">
        <v>0</v>
      </c>
      <c r="BA73" s="278" t="s">
        <v>551</v>
      </c>
      <c r="BB73" s="276">
        <v>0</v>
      </c>
      <c r="BC73" s="279">
        <v>0</v>
      </c>
      <c r="BD73" s="276">
        <v>0</v>
      </c>
      <c r="BE73" s="276">
        <v>0</v>
      </c>
      <c r="BF73" s="279">
        <v>0</v>
      </c>
      <c r="BG73" s="276">
        <v>0</v>
      </c>
      <c r="BH73" s="276">
        <v>0</v>
      </c>
      <c r="BI73" s="278" t="s">
        <v>550</v>
      </c>
      <c r="BJ73" s="276">
        <v>0</v>
      </c>
      <c r="BK73" s="276">
        <v>0</v>
      </c>
      <c r="BL73" s="276">
        <v>0</v>
      </c>
      <c r="BM73" s="276">
        <v>0</v>
      </c>
      <c r="BN73" s="276">
        <v>0</v>
      </c>
      <c r="BO73" s="276">
        <v>0</v>
      </c>
      <c r="BP73" s="276">
        <v>0</v>
      </c>
    </row>
    <row r="74" spans="1:68" x14ac:dyDescent="0.35">
      <c r="A74" s="277" t="s">
        <v>563</v>
      </c>
      <c r="B74" s="277" t="s">
        <v>562</v>
      </c>
      <c r="C74" s="283" t="s">
        <v>959</v>
      </c>
      <c r="D74" s="277" t="s">
        <v>560</v>
      </c>
      <c r="F74" s="277" t="s">
        <v>958</v>
      </c>
      <c r="K74" s="277" t="s">
        <v>883</v>
      </c>
      <c r="L74" s="277" t="s">
        <v>557</v>
      </c>
      <c r="N74" s="277" t="s">
        <v>884</v>
      </c>
      <c r="O74" s="277" t="s">
        <v>883</v>
      </c>
      <c r="P74" s="277" t="s">
        <v>557</v>
      </c>
      <c r="Q74" s="277" t="s">
        <v>556</v>
      </c>
      <c r="R74" s="277" t="s">
        <v>883</v>
      </c>
      <c r="S74" s="276">
        <v>0</v>
      </c>
      <c r="T74" s="276">
        <v>0</v>
      </c>
      <c r="U74" s="276">
        <v>0</v>
      </c>
      <c r="V74" s="276">
        <v>0</v>
      </c>
      <c r="W74" s="276">
        <v>0</v>
      </c>
      <c r="X74" s="276">
        <v>0</v>
      </c>
      <c r="Y74" s="276">
        <v>0</v>
      </c>
      <c r="Z74" s="276">
        <v>0</v>
      </c>
      <c r="AA74" s="276">
        <v>0</v>
      </c>
      <c r="AB74" s="276">
        <v>0</v>
      </c>
      <c r="AC74" s="276"/>
      <c r="AD74" s="276">
        <v>0</v>
      </c>
      <c r="AE74" s="276"/>
      <c r="AF74" s="276">
        <v>0</v>
      </c>
      <c r="AG74" s="276">
        <v>0</v>
      </c>
      <c r="AH74" s="283" t="s">
        <v>86</v>
      </c>
      <c r="AI74" s="282" t="s">
        <v>953</v>
      </c>
      <c r="AJ74" s="281" t="s">
        <v>553</v>
      </c>
      <c r="AK74" s="280" t="s">
        <v>552</v>
      </c>
      <c r="AL74" s="276">
        <v>2.9</v>
      </c>
      <c r="AM74" s="279">
        <v>0</v>
      </c>
      <c r="AN74" s="276">
        <v>0</v>
      </c>
      <c r="AO74" s="276">
        <v>2.9</v>
      </c>
      <c r="AP74" s="279">
        <v>0</v>
      </c>
      <c r="AQ74" s="276">
        <v>0</v>
      </c>
      <c r="AR74" s="276">
        <v>0</v>
      </c>
      <c r="AS74" s="271">
        <v>2</v>
      </c>
      <c r="AT74" s="276">
        <v>0</v>
      </c>
      <c r="AU74" s="279">
        <v>0</v>
      </c>
      <c r="AV74" s="276">
        <v>0</v>
      </c>
      <c r="AW74" s="276">
        <v>0</v>
      </c>
      <c r="AX74" s="279">
        <v>0</v>
      </c>
      <c r="AY74" s="276">
        <v>0</v>
      </c>
      <c r="AZ74" s="276">
        <v>0</v>
      </c>
      <c r="BA74" s="278" t="s">
        <v>551</v>
      </c>
      <c r="BB74" s="276">
        <v>0</v>
      </c>
      <c r="BC74" s="279">
        <v>0</v>
      </c>
      <c r="BD74" s="276">
        <v>0</v>
      </c>
      <c r="BE74" s="276">
        <v>0</v>
      </c>
      <c r="BF74" s="279">
        <v>0</v>
      </c>
      <c r="BG74" s="276">
        <v>0</v>
      </c>
      <c r="BH74" s="276">
        <v>0</v>
      </c>
      <c r="BI74" s="278" t="s">
        <v>550</v>
      </c>
      <c r="BJ74" s="276">
        <v>0</v>
      </c>
      <c r="BK74" s="276">
        <v>0</v>
      </c>
      <c r="BL74" s="276">
        <v>0</v>
      </c>
      <c r="BM74" s="276">
        <v>0</v>
      </c>
      <c r="BN74" s="276">
        <v>0</v>
      </c>
      <c r="BO74" s="276">
        <v>0</v>
      </c>
      <c r="BP74" s="276">
        <v>0</v>
      </c>
    </row>
    <row r="75" spans="1:68" x14ac:dyDescent="0.35">
      <c r="A75" s="277" t="s">
        <v>563</v>
      </c>
      <c r="B75" s="277" t="s">
        <v>562</v>
      </c>
      <c r="C75" s="283" t="s">
        <v>957</v>
      </c>
      <c r="D75" s="277" t="s">
        <v>560</v>
      </c>
      <c r="F75" s="277" t="s">
        <v>956</v>
      </c>
      <c r="K75" s="277" t="s">
        <v>883</v>
      </c>
      <c r="L75" s="277" t="s">
        <v>557</v>
      </c>
      <c r="N75" s="277" t="s">
        <v>884</v>
      </c>
      <c r="O75" s="277" t="s">
        <v>883</v>
      </c>
      <c r="P75" s="277" t="s">
        <v>557</v>
      </c>
      <c r="Q75" s="277" t="s">
        <v>556</v>
      </c>
      <c r="R75" s="277" t="s">
        <v>883</v>
      </c>
      <c r="S75" s="276">
        <v>0</v>
      </c>
      <c r="T75" s="276">
        <v>0</v>
      </c>
      <c r="U75" s="276">
        <v>0</v>
      </c>
      <c r="V75" s="276">
        <v>0</v>
      </c>
      <c r="W75" s="276">
        <v>0</v>
      </c>
      <c r="X75" s="276">
        <v>0</v>
      </c>
      <c r="Y75" s="276">
        <v>0</v>
      </c>
      <c r="Z75" s="276">
        <v>0</v>
      </c>
      <c r="AA75" s="276">
        <v>0</v>
      </c>
      <c r="AB75" s="276">
        <v>0</v>
      </c>
      <c r="AC75" s="276"/>
      <c r="AD75" s="276">
        <v>0</v>
      </c>
      <c r="AE75" s="276"/>
      <c r="AF75" s="276">
        <v>0</v>
      </c>
      <c r="AG75" s="276">
        <v>0</v>
      </c>
      <c r="AH75" s="283" t="s">
        <v>86</v>
      </c>
      <c r="AI75" s="282" t="s">
        <v>951</v>
      </c>
      <c r="AJ75" s="281" t="s">
        <v>553</v>
      </c>
      <c r="AK75" s="280" t="s">
        <v>552</v>
      </c>
      <c r="AL75" s="276">
        <v>1.34</v>
      </c>
      <c r="AM75" s="279">
        <v>0</v>
      </c>
      <c r="AN75" s="276">
        <v>0</v>
      </c>
      <c r="AO75" s="276">
        <v>1.34</v>
      </c>
      <c r="AP75" s="279">
        <v>0</v>
      </c>
      <c r="AQ75" s="276">
        <v>0</v>
      </c>
      <c r="AR75" s="276">
        <v>0</v>
      </c>
      <c r="AS75" s="271">
        <v>2</v>
      </c>
      <c r="AT75" s="276">
        <v>0</v>
      </c>
      <c r="AU75" s="279">
        <v>0</v>
      </c>
      <c r="AV75" s="276">
        <v>0</v>
      </c>
      <c r="AW75" s="276">
        <v>0</v>
      </c>
      <c r="AX75" s="279">
        <v>0</v>
      </c>
      <c r="AY75" s="276">
        <v>0</v>
      </c>
      <c r="AZ75" s="276">
        <v>0</v>
      </c>
      <c r="BA75" s="278" t="s">
        <v>551</v>
      </c>
      <c r="BB75" s="276">
        <v>0</v>
      </c>
      <c r="BC75" s="279">
        <v>0</v>
      </c>
      <c r="BD75" s="276">
        <v>0</v>
      </c>
      <c r="BE75" s="276">
        <v>0</v>
      </c>
      <c r="BF75" s="279">
        <v>0</v>
      </c>
      <c r="BG75" s="276">
        <v>0</v>
      </c>
      <c r="BH75" s="276">
        <v>0</v>
      </c>
      <c r="BI75" s="278" t="s">
        <v>550</v>
      </c>
      <c r="BJ75" s="276">
        <v>0</v>
      </c>
      <c r="BK75" s="276">
        <v>0</v>
      </c>
      <c r="BL75" s="276">
        <v>0</v>
      </c>
      <c r="BM75" s="276">
        <v>0</v>
      </c>
      <c r="BN75" s="276">
        <v>0</v>
      </c>
      <c r="BO75" s="276">
        <v>0</v>
      </c>
      <c r="BP75" s="276">
        <v>0</v>
      </c>
    </row>
    <row r="76" spans="1:68" x14ac:dyDescent="0.35">
      <c r="A76" s="277" t="s">
        <v>563</v>
      </c>
      <c r="B76" s="277" t="s">
        <v>562</v>
      </c>
      <c r="C76" s="283" t="s">
        <v>955</v>
      </c>
      <c r="D76" s="277" t="s">
        <v>560</v>
      </c>
      <c r="F76" s="277" t="s">
        <v>954</v>
      </c>
      <c r="K76" s="277" t="s">
        <v>883</v>
      </c>
      <c r="L76" s="277" t="s">
        <v>557</v>
      </c>
      <c r="N76" s="277" t="s">
        <v>884</v>
      </c>
      <c r="O76" s="277" t="s">
        <v>883</v>
      </c>
      <c r="P76" s="277" t="s">
        <v>557</v>
      </c>
      <c r="Q76" s="277" t="s">
        <v>556</v>
      </c>
      <c r="R76" s="277" t="s">
        <v>883</v>
      </c>
      <c r="S76" s="276">
        <v>0</v>
      </c>
      <c r="T76" s="276">
        <v>0</v>
      </c>
      <c r="U76" s="276">
        <v>0</v>
      </c>
      <c r="V76" s="276">
        <v>0</v>
      </c>
      <c r="W76" s="276">
        <v>0</v>
      </c>
      <c r="X76" s="276">
        <v>0</v>
      </c>
      <c r="Y76" s="276">
        <v>0</v>
      </c>
      <c r="Z76" s="276">
        <v>0</v>
      </c>
      <c r="AA76" s="276">
        <v>0</v>
      </c>
      <c r="AB76" s="276">
        <v>0</v>
      </c>
      <c r="AC76" s="276"/>
      <c r="AD76" s="276">
        <v>0</v>
      </c>
      <c r="AE76" s="276"/>
      <c r="AF76" s="276">
        <v>0</v>
      </c>
      <c r="AG76" s="276">
        <v>0</v>
      </c>
      <c r="AH76" s="283" t="s">
        <v>483</v>
      </c>
      <c r="AJ76" s="281" t="s">
        <v>553</v>
      </c>
      <c r="AK76" s="280" t="s">
        <v>552</v>
      </c>
      <c r="AL76" s="276">
        <v>0.89</v>
      </c>
      <c r="AM76" s="279">
        <v>0</v>
      </c>
      <c r="AN76" s="276">
        <v>0</v>
      </c>
      <c r="AO76" s="276">
        <v>0.89</v>
      </c>
      <c r="AP76" s="279">
        <v>0</v>
      </c>
      <c r="AQ76" s="276">
        <v>0</v>
      </c>
      <c r="AR76" s="276">
        <v>0</v>
      </c>
      <c r="AS76" s="271">
        <v>2</v>
      </c>
      <c r="AT76" s="276">
        <v>0</v>
      </c>
      <c r="AU76" s="279">
        <v>0</v>
      </c>
      <c r="AV76" s="276">
        <v>0</v>
      </c>
      <c r="AW76" s="276">
        <v>0</v>
      </c>
      <c r="AX76" s="279">
        <v>0</v>
      </c>
      <c r="AY76" s="276">
        <v>0</v>
      </c>
      <c r="AZ76" s="276">
        <v>0</v>
      </c>
      <c r="BA76" s="278" t="s">
        <v>551</v>
      </c>
      <c r="BB76" s="276">
        <v>0</v>
      </c>
      <c r="BC76" s="279">
        <v>0</v>
      </c>
      <c r="BD76" s="276">
        <v>0</v>
      </c>
      <c r="BE76" s="276">
        <v>0</v>
      </c>
      <c r="BF76" s="279">
        <v>0</v>
      </c>
      <c r="BG76" s="276">
        <v>0</v>
      </c>
      <c r="BH76" s="276">
        <v>0</v>
      </c>
      <c r="BI76" s="278" t="s">
        <v>550</v>
      </c>
      <c r="BJ76" s="276">
        <v>0</v>
      </c>
      <c r="BK76" s="276">
        <v>0</v>
      </c>
      <c r="BL76" s="276">
        <v>0</v>
      </c>
      <c r="BM76" s="276">
        <v>0</v>
      </c>
      <c r="BN76" s="276">
        <v>0</v>
      </c>
      <c r="BO76" s="276">
        <v>0</v>
      </c>
      <c r="BP76" s="276">
        <v>0</v>
      </c>
    </row>
    <row r="77" spans="1:68" x14ac:dyDescent="0.35">
      <c r="A77" s="277" t="s">
        <v>563</v>
      </c>
      <c r="B77" s="277" t="s">
        <v>562</v>
      </c>
      <c r="C77" s="283" t="s">
        <v>953</v>
      </c>
      <c r="D77" s="277" t="s">
        <v>560</v>
      </c>
      <c r="F77" s="277" t="s">
        <v>952</v>
      </c>
      <c r="K77" s="277" t="s">
        <v>883</v>
      </c>
      <c r="L77" s="277" t="s">
        <v>557</v>
      </c>
      <c r="N77" s="277" t="s">
        <v>884</v>
      </c>
      <c r="O77" s="277" t="s">
        <v>883</v>
      </c>
      <c r="P77" s="277" t="s">
        <v>557</v>
      </c>
      <c r="Q77" s="277" t="s">
        <v>556</v>
      </c>
      <c r="R77" s="277" t="s">
        <v>883</v>
      </c>
      <c r="S77" s="276">
        <v>0</v>
      </c>
      <c r="T77" s="276">
        <v>0</v>
      </c>
      <c r="U77" s="276">
        <v>0</v>
      </c>
      <c r="V77" s="276">
        <v>0</v>
      </c>
      <c r="W77" s="276">
        <v>0</v>
      </c>
      <c r="X77" s="276">
        <v>0</v>
      </c>
      <c r="Y77" s="276">
        <v>0</v>
      </c>
      <c r="Z77" s="276">
        <v>0</v>
      </c>
      <c r="AA77" s="276">
        <v>0</v>
      </c>
      <c r="AB77" s="276">
        <v>0</v>
      </c>
      <c r="AC77" s="276"/>
      <c r="AD77" s="276">
        <v>0</v>
      </c>
      <c r="AE77" s="276"/>
      <c r="AF77" s="276">
        <v>0</v>
      </c>
      <c r="AG77" s="276">
        <v>0</v>
      </c>
      <c r="AH77" s="283" t="s">
        <v>483</v>
      </c>
      <c r="AJ77" s="281" t="s">
        <v>553</v>
      </c>
      <c r="AK77" s="280" t="s">
        <v>552</v>
      </c>
      <c r="AL77" s="276">
        <v>1.25</v>
      </c>
      <c r="AM77" s="279">
        <v>0</v>
      </c>
      <c r="AN77" s="276">
        <v>0</v>
      </c>
      <c r="AO77" s="276">
        <v>1.25</v>
      </c>
      <c r="AP77" s="279">
        <v>0</v>
      </c>
      <c r="AQ77" s="276">
        <v>0</v>
      </c>
      <c r="AR77" s="276">
        <v>0</v>
      </c>
      <c r="AS77" s="271">
        <v>2</v>
      </c>
      <c r="AT77" s="276">
        <v>0</v>
      </c>
      <c r="AU77" s="279">
        <v>0</v>
      </c>
      <c r="AV77" s="276">
        <v>0</v>
      </c>
      <c r="AW77" s="276">
        <v>0</v>
      </c>
      <c r="AX77" s="279">
        <v>0</v>
      </c>
      <c r="AY77" s="276">
        <v>0</v>
      </c>
      <c r="AZ77" s="276">
        <v>0</v>
      </c>
      <c r="BA77" s="278" t="s">
        <v>551</v>
      </c>
      <c r="BB77" s="276">
        <v>0</v>
      </c>
      <c r="BC77" s="279">
        <v>0</v>
      </c>
      <c r="BD77" s="276">
        <v>0</v>
      </c>
      <c r="BE77" s="276">
        <v>0</v>
      </c>
      <c r="BF77" s="279">
        <v>0</v>
      </c>
      <c r="BG77" s="276">
        <v>0</v>
      </c>
      <c r="BH77" s="276">
        <v>0</v>
      </c>
      <c r="BI77" s="278" t="s">
        <v>550</v>
      </c>
      <c r="BJ77" s="276">
        <v>0</v>
      </c>
      <c r="BK77" s="276">
        <v>0</v>
      </c>
      <c r="BL77" s="276">
        <v>0</v>
      </c>
      <c r="BM77" s="276">
        <v>0</v>
      </c>
      <c r="BN77" s="276">
        <v>0</v>
      </c>
      <c r="BO77" s="276">
        <v>0</v>
      </c>
      <c r="BP77" s="276">
        <v>0</v>
      </c>
    </row>
    <row r="78" spans="1:68" x14ac:dyDescent="0.35">
      <c r="A78" s="277" t="s">
        <v>563</v>
      </c>
      <c r="B78" s="277" t="s">
        <v>562</v>
      </c>
      <c r="C78" s="283" t="s">
        <v>951</v>
      </c>
      <c r="D78" s="277" t="s">
        <v>560</v>
      </c>
      <c r="F78" s="277" t="s">
        <v>950</v>
      </c>
      <c r="K78" s="277" t="s">
        <v>883</v>
      </c>
      <c r="L78" s="277" t="s">
        <v>557</v>
      </c>
      <c r="N78" s="277" t="s">
        <v>884</v>
      </c>
      <c r="O78" s="277" t="s">
        <v>883</v>
      </c>
      <c r="P78" s="277" t="s">
        <v>557</v>
      </c>
      <c r="Q78" s="277" t="s">
        <v>556</v>
      </c>
      <c r="R78" s="277" t="s">
        <v>883</v>
      </c>
      <c r="S78" s="276">
        <v>0</v>
      </c>
      <c r="T78" s="276">
        <v>0</v>
      </c>
      <c r="U78" s="276">
        <v>0</v>
      </c>
      <c r="V78" s="276">
        <v>0</v>
      </c>
      <c r="W78" s="276">
        <v>0</v>
      </c>
      <c r="X78" s="276">
        <v>0</v>
      </c>
      <c r="Y78" s="276">
        <v>0</v>
      </c>
      <c r="Z78" s="276">
        <v>0</v>
      </c>
      <c r="AA78" s="276">
        <v>0</v>
      </c>
      <c r="AB78" s="276">
        <v>0</v>
      </c>
      <c r="AC78" s="276"/>
      <c r="AD78" s="276">
        <v>0</v>
      </c>
      <c r="AE78" s="276"/>
      <c r="AF78" s="276">
        <v>0</v>
      </c>
      <c r="AG78" s="276">
        <v>0</v>
      </c>
      <c r="AH78" s="283" t="s">
        <v>483</v>
      </c>
      <c r="AJ78" s="281" t="s">
        <v>553</v>
      </c>
      <c r="AK78" s="280" t="s">
        <v>552</v>
      </c>
      <c r="AL78" s="276">
        <v>0.95</v>
      </c>
      <c r="AM78" s="279">
        <v>0</v>
      </c>
      <c r="AN78" s="276">
        <v>0</v>
      </c>
      <c r="AO78" s="276">
        <v>0.95</v>
      </c>
      <c r="AP78" s="279">
        <v>0</v>
      </c>
      <c r="AQ78" s="276">
        <v>0</v>
      </c>
      <c r="AR78" s="276">
        <v>0</v>
      </c>
      <c r="AS78" s="271">
        <v>2</v>
      </c>
      <c r="AT78" s="276">
        <v>0</v>
      </c>
      <c r="AU78" s="279">
        <v>0</v>
      </c>
      <c r="AV78" s="276">
        <v>0</v>
      </c>
      <c r="AW78" s="276">
        <v>0</v>
      </c>
      <c r="AX78" s="279">
        <v>0</v>
      </c>
      <c r="AY78" s="276">
        <v>0</v>
      </c>
      <c r="AZ78" s="276">
        <v>0</v>
      </c>
      <c r="BA78" s="278" t="s">
        <v>551</v>
      </c>
      <c r="BB78" s="276">
        <v>0</v>
      </c>
      <c r="BC78" s="279">
        <v>0</v>
      </c>
      <c r="BD78" s="276">
        <v>0</v>
      </c>
      <c r="BE78" s="276">
        <v>0</v>
      </c>
      <c r="BF78" s="279">
        <v>0</v>
      </c>
      <c r="BG78" s="276">
        <v>0</v>
      </c>
      <c r="BH78" s="276">
        <v>0</v>
      </c>
      <c r="BI78" s="278" t="s">
        <v>550</v>
      </c>
      <c r="BJ78" s="276">
        <v>0</v>
      </c>
      <c r="BK78" s="276">
        <v>0</v>
      </c>
      <c r="BL78" s="276">
        <v>0</v>
      </c>
      <c r="BM78" s="276">
        <v>0</v>
      </c>
      <c r="BN78" s="276">
        <v>0</v>
      </c>
      <c r="BO78" s="276">
        <v>0</v>
      </c>
      <c r="BP78" s="276">
        <v>0</v>
      </c>
    </row>
    <row r="79" spans="1:68" x14ac:dyDescent="0.35">
      <c r="A79" s="277" t="s">
        <v>563</v>
      </c>
      <c r="B79" s="277" t="s">
        <v>562</v>
      </c>
      <c r="C79" s="283" t="s">
        <v>949</v>
      </c>
      <c r="D79" s="277" t="s">
        <v>560</v>
      </c>
      <c r="F79" s="277" t="s">
        <v>948</v>
      </c>
      <c r="K79" s="277" t="s">
        <v>883</v>
      </c>
      <c r="L79" s="277" t="s">
        <v>557</v>
      </c>
      <c r="N79" s="277" t="s">
        <v>884</v>
      </c>
      <c r="O79" s="277" t="s">
        <v>883</v>
      </c>
      <c r="P79" s="277" t="s">
        <v>557</v>
      </c>
      <c r="Q79" s="277" t="s">
        <v>556</v>
      </c>
      <c r="R79" s="277" t="s">
        <v>883</v>
      </c>
      <c r="S79" s="276">
        <v>0</v>
      </c>
      <c r="T79" s="276">
        <v>0</v>
      </c>
      <c r="U79" s="276">
        <v>0</v>
      </c>
      <c r="V79" s="276">
        <v>0</v>
      </c>
      <c r="W79" s="276">
        <v>0</v>
      </c>
      <c r="X79" s="276">
        <v>0</v>
      </c>
      <c r="Y79" s="276">
        <v>0</v>
      </c>
      <c r="Z79" s="276">
        <v>0</v>
      </c>
      <c r="AA79" s="276">
        <v>0</v>
      </c>
      <c r="AB79" s="276">
        <v>0</v>
      </c>
      <c r="AC79" s="276"/>
      <c r="AD79" s="276">
        <v>0</v>
      </c>
      <c r="AE79" s="276"/>
      <c r="AF79" s="276">
        <v>0</v>
      </c>
      <c r="AG79" s="276">
        <v>0</v>
      </c>
      <c r="AH79" s="283" t="s">
        <v>86</v>
      </c>
      <c r="AI79" s="282" t="s">
        <v>943</v>
      </c>
      <c r="AJ79" s="281" t="s">
        <v>553</v>
      </c>
      <c r="AK79" s="280" t="s">
        <v>552</v>
      </c>
      <c r="AL79" s="276">
        <v>2.4</v>
      </c>
      <c r="AM79" s="279">
        <v>0</v>
      </c>
      <c r="AN79" s="276">
        <v>0</v>
      </c>
      <c r="AO79" s="276">
        <v>2.4</v>
      </c>
      <c r="AP79" s="279">
        <v>0</v>
      </c>
      <c r="AQ79" s="276">
        <v>0</v>
      </c>
      <c r="AR79" s="276">
        <v>0</v>
      </c>
      <c r="AS79" s="271">
        <v>2</v>
      </c>
      <c r="AT79" s="276">
        <v>0</v>
      </c>
      <c r="AU79" s="279">
        <v>0</v>
      </c>
      <c r="AV79" s="276">
        <v>0</v>
      </c>
      <c r="AW79" s="276">
        <v>0</v>
      </c>
      <c r="AX79" s="279">
        <v>0</v>
      </c>
      <c r="AY79" s="276">
        <v>0</v>
      </c>
      <c r="AZ79" s="276">
        <v>0</v>
      </c>
      <c r="BA79" s="278" t="s">
        <v>551</v>
      </c>
      <c r="BB79" s="276">
        <v>0</v>
      </c>
      <c r="BC79" s="279">
        <v>0</v>
      </c>
      <c r="BD79" s="276">
        <v>0</v>
      </c>
      <c r="BE79" s="276">
        <v>0</v>
      </c>
      <c r="BF79" s="279">
        <v>0</v>
      </c>
      <c r="BG79" s="276">
        <v>0</v>
      </c>
      <c r="BH79" s="276">
        <v>0</v>
      </c>
      <c r="BI79" s="278" t="s">
        <v>550</v>
      </c>
      <c r="BJ79" s="276">
        <v>0</v>
      </c>
      <c r="BK79" s="276">
        <v>0</v>
      </c>
      <c r="BL79" s="276">
        <v>0</v>
      </c>
      <c r="BM79" s="276">
        <v>0</v>
      </c>
      <c r="BN79" s="276">
        <v>0</v>
      </c>
      <c r="BO79" s="276">
        <v>0</v>
      </c>
      <c r="BP79" s="276">
        <v>0</v>
      </c>
    </row>
    <row r="80" spans="1:68" x14ac:dyDescent="0.35">
      <c r="A80" s="277" t="s">
        <v>563</v>
      </c>
      <c r="B80" s="277" t="s">
        <v>562</v>
      </c>
      <c r="C80" s="283" t="s">
        <v>947</v>
      </c>
      <c r="D80" s="277" t="s">
        <v>560</v>
      </c>
      <c r="F80" s="277" t="s">
        <v>946</v>
      </c>
      <c r="K80" s="277" t="s">
        <v>883</v>
      </c>
      <c r="L80" s="277" t="s">
        <v>557</v>
      </c>
      <c r="N80" s="277" t="s">
        <v>884</v>
      </c>
      <c r="O80" s="277" t="s">
        <v>883</v>
      </c>
      <c r="P80" s="277" t="s">
        <v>557</v>
      </c>
      <c r="Q80" s="277" t="s">
        <v>556</v>
      </c>
      <c r="R80" s="277" t="s">
        <v>883</v>
      </c>
      <c r="S80" s="276">
        <v>0</v>
      </c>
      <c r="T80" s="276">
        <v>0</v>
      </c>
      <c r="U80" s="276">
        <v>0</v>
      </c>
      <c r="V80" s="276">
        <v>0</v>
      </c>
      <c r="W80" s="276">
        <v>0</v>
      </c>
      <c r="X80" s="276">
        <v>0</v>
      </c>
      <c r="Y80" s="276">
        <v>0</v>
      </c>
      <c r="Z80" s="276">
        <v>0</v>
      </c>
      <c r="AA80" s="276">
        <v>0</v>
      </c>
      <c r="AB80" s="276">
        <v>0</v>
      </c>
      <c r="AC80" s="276"/>
      <c r="AD80" s="276">
        <v>0</v>
      </c>
      <c r="AE80" s="276"/>
      <c r="AF80" s="276">
        <v>0</v>
      </c>
      <c r="AG80" s="276">
        <v>0</v>
      </c>
      <c r="AH80" s="283" t="s">
        <v>86</v>
      </c>
      <c r="AI80" s="282" t="s">
        <v>941</v>
      </c>
      <c r="AJ80" s="281" t="s">
        <v>553</v>
      </c>
      <c r="AK80" s="280" t="s">
        <v>552</v>
      </c>
      <c r="AL80" s="276">
        <v>1.19</v>
      </c>
      <c r="AM80" s="279">
        <v>0</v>
      </c>
      <c r="AN80" s="276">
        <v>0</v>
      </c>
      <c r="AO80" s="276">
        <v>1.19</v>
      </c>
      <c r="AP80" s="279">
        <v>0</v>
      </c>
      <c r="AQ80" s="276">
        <v>0</v>
      </c>
      <c r="AR80" s="276">
        <v>0</v>
      </c>
      <c r="AS80" s="271">
        <v>2</v>
      </c>
      <c r="AT80" s="276">
        <v>0</v>
      </c>
      <c r="AU80" s="279">
        <v>0</v>
      </c>
      <c r="AV80" s="276">
        <v>0</v>
      </c>
      <c r="AW80" s="276">
        <v>0</v>
      </c>
      <c r="AX80" s="279">
        <v>0</v>
      </c>
      <c r="AY80" s="276">
        <v>0</v>
      </c>
      <c r="AZ80" s="276">
        <v>0</v>
      </c>
      <c r="BA80" s="278" t="s">
        <v>551</v>
      </c>
      <c r="BB80" s="276">
        <v>0</v>
      </c>
      <c r="BC80" s="279">
        <v>0</v>
      </c>
      <c r="BD80" s="276">
        <v>0</v>
      </c>
      <c r="BE80" s="276">
        <v>0</v>
      </c>
      <c r="BF80" s="279">
        <v>0</v>
      </c>
      <c r="BG80" s="276">
        <v>0</v>
      </c>
      <c r="BH80" s="276">
        <v>0</v>
      </c>
      <c r="BI80" s="278" t="s">
        <v>550</v>
      </c>
      <c r="BJ80" s="276">
        <v>0</v>
      </c>
      <c r="BK80" s="276">
        <v>0</v>
      </c>
      <c r="BL80" s="276">
        <v>0</v>
      </c>
      <c r="BM80" s="276">
        <v>0</v>
      </c>
      <c r="BN80" s="276">
        <v>0</v>
      </c>
      <c r="BO80" s="276">
        <v>0</v>
      </c>
      <c r="BP80" s="276">
        <v>0</v>
      </c>
    </row>
    <row r="81" spans="1:68" x14ac:dyDescent="0.35">
      <c r="A81" s="277" t="s">
        <v>563</v>
      </c>
      <c r="B81" s="277" t="s">
        <v>562</v>
      </c>
      <c r="C81" s="283" t="s">
        <v>945</v>
      </c>
      <c r="D81" s="277" t="s">
        <v>560</v>
      </c>
      <c r="F81" s="277" t="s">
        <v>944</v>
      </c>
      <c r="K81" s="277" t="s">
        <v>883</v>
      </c>
      <c r="L81" s="277" t="s">
        <v>557</v>
      </c>
      <c r="N81" s="277" t="s">
        <v>884</v>
      </c>
      <c r="O81" s="277" t="s">
        <v>883</v>
      </c>
      <c r="P81" s="277" t="s">
        <v>557</v>
      </c>
      <c r="Q81" s="277" t="s">
        <v>556</v>
      </c>
      <c r="R81" s="277" t="s">
        <v>883</v>
      </c>
      <c r="S81" s="276">
        <v>0</v>
      </c>
      <c r="T81" s="276">
        <v>0</v>
      </c>
      <c r="U81" s="276">
        <v>0</v>
      </c>
      <c r="V81" s="276">
        <v>0</v>
      </c>
      <c r="W81" s="276">
        <v>0</v>
      </c>
      <c r="X81" s="276">
        <v>0</v>
      </c>
      <c r="Y81" s="276">
        <v>0</v>
      </c>
      <c r="Z81" s="276">
        <v>0</v>
      </c>
      <c r="AA81" s="276">
        <v>0</v>
      </c>
      <c r="AB81" s="276">
        <v>0</v>
      </c>
      <c r="AC81" s="276"/>
      <c r="AD81" s="276">
        <v>0</v>
      </c>
      <c r="AE81" s="276"/>
      <c r="AF81" s="276">
        <v>0</v>
      </c>
      <c r="AG81" s="276">
        <v>0</v>
      </c>
      <c r="AH81" s="283" t="s">
        <v>483</v>
      </c>
      <c r="AJ81" s="281" t="s">
        <v>553</v>
      </c>
      <c r="AK81" s="280" t="s">
        <v>552</v>
      </c>
      <c r="AL81" s="276">
        <v>0.66</v>
      </c>
      <c r="AM81" s="279">
        <v>0</v>
      </c>
      <c r="AN81" s="276">
        <v>0</v>
      </c>
      <c r="AO81" s="276">
        <v>0.66</v>
      </c>
      <c r="AP81" s="279">
        <v>0</v>
      </c>
      <c r="AQ81" s="276">
        <v>0</v>
      </c>
      <c r="AR81" s="276">
        <v>0</v>
      </c>
      <c r="AS81" s="271">
        <v>2</v>
      </c>
      <c r="AT81" s="276">
        <v>0</v>
      </c>
      <c r="AU81" s="279">
        <v>0</v>
      </c>
      <c r="AV81" s="276">
        <v>0</v>
      </c>
      <c r="AW81" s="276">
        <v>0</v>
      </c>
      <c r="AX81" s="279">
        <v>0</v>
      </c>
      <c r="AY81" s="276">
        <v>0</v>
      </c>
      <c r="AZ81" s="276">
        <v>0</v>
      </c>
      <c r="BA81" s="278" t="s">
        <v>551</v>
      </c>
      <c r="BB81" s="276">
        <v>0</v>
      </c>
      <c r="BC81" s="279">
        <v>0</v>
      </c>
      <c r="BD81" s="276">
        <v>0</v>
      </c>
      <c r="BE81" s="276">
        <v>0</v>
      </c>
      <c r="BF81" s="279">
        <v>0</v>
      </c>
      <c r="BG81" s="276">
        <v>0</v>
      </c>
      <c r="BH81" s="276">
        <v>0</v>
      </c>
      <c r="BI81" s="278" t="s">
        <v>550</v>
      </c>
      <c r="BJ81" s="276">
        <v>0</v>
      </c>
      <c r="BK81" s="276">
        <v>0</v>
      </c>
      <c r="BL81" s="276">
        <v>0</v>
      </c>
      <c r="BM81" s="276">
        <v>0</v>
      </c>
      <c r="BN81" s="276">
        <v>0</v>
      </c>
      <c r="BO81" s="276">
        <v>0</v>
      </c>
      <c r="BP81" s="276">
        <v>0</v>
      </c>
    </row>
    <row r="82" spans="1:68" x14ac:dyDescent="0.35">
      <c r="A82" s="277" t="s">
        <v>563</v>
      </c>
      <c r="B82" s="277" t="s">
        <v>562</v>
      </c>
      <c r="C82" s="283" t="s">
        <v>943</v>
      </c>
      <c r="D82" s="277" t="s">
        <v>560</v>
      </c>
      <c r="F82" s="277" t="s">
        <v>942</v>
      </c>
      <c r="K82" s="277" t="s">
        <v>883</v>
      </c>
      <c r="L82" s="277" t="s">
        <v>557</v>
      </c>
      <c r="N82" s="277" t="s">
        <v>884</v>
      </c>
      <c r="O82" s="277" t="s">
        <v>883</v>
      </c>
      <c r="P82" s="277" t="s">
        <v>557</v>
      </c>
      <c r="Q82" s="277" t="s">
        <v>556</v>
      </c>
      <c r="R82" s="277" t="s">
        <v>883</v>
      </c>
      <c r="S82" s="276">
        <v>0</v>
      </c>
      <c r="T82" s="276">
        <v>0</v>
      </c>
      <c r="U82" s="276">
        <v>0</v>
      </c>
      <c r="V82" s="276">
        <v>0</v>
      </c>
      <c r="W82" s="276">
        <v>0</v>
      </c>
      <c r="X82" s="276">
        <v>0</v>
      </c>
      <c r="Y82" s="276">
        <v>0</v>
      </c>
      <c r="Z82" s="276">
        <v>0</v>
      </c>
      <c r="AA82" s="276">
        <v>0</v>
      </c>
      <c r="AB82" s="276">
        <v>0</v>
      </c>
      <c r="AC82" s="276"/>
      <c r="AD82" s="276">
        <v>0</v>
      </c>
      <c r="AE82" s="276"/>
      <c r="AF82" s="276">
        <v>0</v>
      </c>
      <c r="AG82" s="276">
        <v>0</v>
      </c>
      <c r="AH82" s="283" t="s">
        <v>483</v>
      </c>
      <c r="AJ82" s="281" t="s">
        <v>553</v>
      </c>
      <c r="AK82" s="280" t="s">
        <v>552</v>
      </c>
      <c r="AL82" s="276">
        <v>1.35</v>
      </c>
      <c r="AM82" s="279">
        <v>0</v>
      </c>
      <c r="AN82" s="276">
        <v>0</v>
      </c>
      <c r="AO82" s="276">
        <v>1.35</v>
      </c>
      <c r="AP82" s="279">
        <v>0</v>
      </c>
      <c r="AQ82" s="276">
        <v>0</v>
      </c>
      <c r="AR82" s="276">
        <v>0</v>
      </c>
      <c r="AS82" s="271">
        <v>2</v>
      </c>
      <c r="AT82" s="276">
        <v>0</v>
      </c>
      <c r="AU82" s="279">
        <v>0</v>
      </c>
      <c r="AV82" s="276">
        <v>0</v>
      </c>
      <c r="AW82" s="276">
        <v>0</v>
      </c>
      <c r="AX82" s="279">
        <v>0</v>
      </c>
      <c r="AY82" s="276">
        <v>0</v>
      </c>
      <c r="AZ82" s="276">
        <v>0</v>
      </c>
      <c r="BA82" s="278" t="s">
        <v>551</v>
      </c>
      <c r="BB82" s="276">
        <v>0</v>
      </c>
      <c r="BC82" s="279">
        <v>0</v>
      </c>
      <c r="BD82" s="276">
        <v>0</v>
      </c>
      <c r="BE82" s="276">
        <v>0</v>
      </c>
      <c r="BF82" s="279">
        <v>0</v>
      </c>
      <c r="BG82" s="276">
        <v>0</v>
      </c>
      <c r="BH82" s="276">
        <v>0</v>
      </c>
      <c r="BI82" s="278" t="s">
        <v>550</v>
      </c>
      <c r="BJ82" s="276">
        <v>0</v>
      </c>
      <c r="BK82" s="276">
        <v>0</v>
      </c>
      <c r="BL82" s="276">
        <v>0</v>
      </c>
      <c r="BM82" s="276">
        <v>0</v>
      </c>
      <c r="BN82" s="276">
        <v>0</v>
      </c>
      <c r="BO82" s="276">
        <v>0</v>
      </c>
      <c r="BP82" s="276">
        <v>0</v>
      </c>
    </row>
    <row r="83" spans="1:68" x14ac:dyDescent="0.35">
      <c r="A83" s="277" t="s">
        <v>563</v>
      </c>
      <c r="B83" s="277" t="s">
        <v>562</v>
      </c>
      <c r="C83" s="283" t="s">
        <v>941</v>
      </c>
      <c r="D83" s="277" t="s">
        <v>560</v>
      </c>
      <c r="F83" s="277" t="s">
        <v>940</v>
      </c>
      <c r="K83" s="277" t="s">
        <v>883</v>
      </c>
      <c r="L83" s="277" t="s">
        <v>557</v>
      </c>
      <c r="N83" s="277" t="s">
        <v>884</v>
      </c>
      <c r="O83" s="277" t="s">
        <v>883</v>
      </c>
      <c r="P83" s="277" t="s">
        <v>557</v>
      </c>
      <c r="Q83" s="277" t="s">
        <v>556</v>
      </c>
      <c r="R83" s="277" t="s">
        <v>883</v>
      </c>
      <c r="S83" s="276">
        <v>0</v>
      </c>
      <c r="T83" s="276">
        <v>0</v>
      </c>
      <c r="U83" s="276">
        <v>0</v>
      </c>
      <c r="V83" s="276">
        <v>0</v>
      </c>
      <c r="W83" s="276">
        <v>0</v>
      </c>
      <c r="X83" s="276">
        <v>0</v>
      </c>
      <c r="Y83" s="276">
        <v>0</v>
      </c>
      <c r="Z83" s="276">
        <v>0</v>
      </c>
      <c r="AA83" s="276">
        <v>0</v>
      </c>
      <c r="AB83" s="276">
        <v>0</v>
      </c>
      <c r="AC83" s="276"/>
      <c r="AD83" s="276">
        <v>0</v>
      </c>
      <c r="AE83" s="276"/>
      <c r="AF83" s="276">
        <v>0</v>
      </c>
      <c r="AG83" s="276">
        <v>0</v>
      </c>
      <c r="AH83" s="283" t="s">
        <v>483</v>
      </c>
      <c r="AJ83" s="281" t="s">
        <v>553</v>
      </c>
      <c r="AK83" s="280" t="s">
        <v>552</v>
      </c>
      <c r="AL83" s="276">
        <v>0.75</v>
      </c>
      <c r="AM83" s="279">
        <v>0</v>
      </c>
      <c r="AN83" s="276">
        <v>0</v>
      </c>
      <c r="AO83" s="276">
        <v>0.75</v>
      </c>
      <c r="AP83" s="279">
        <v>0</v>
      </c>
      <c r="AQ83" s="276">
        <v>0</v>
      </c>
      <c r="AR83" s="276">
        <v>0</v>
      </c>
      <c r="AS83" s="271">
        <v>2</v>
      </c>
      <c r="AT83" s="276">
        <v>0</v>
      </c>
      <c r="AU83" s="279">
        <v>0</v>
      </c>
      <c r="AV83" s="276">
        <v>0</v>
      </c>
      <c r="AW83" s="276">
        <v>0</v>
      </c>
      <c r="AX83" s="279">
        <v>0</v>
      </c>
      <c r="AY83" s="276">
        <v>0</v>
      </c>
      <c r="AZ83" s="276">
        <v>0</v>
      </c>
      <c r="BA83" s="278" t="s">
        <v>551</v>
      </c>
      <c r="BB83" s="276">
        <v>0</v>
      </c>
      <c r="BC83" s="279">
        <v>0</v>
      </c>
      <c r="BD83" s="276">
        <v>0</v>
      </c>
      <c r="BE83" s="276">
        <v>0</v>
      </c>
      <c r="BF83" s="279">
        <v>0</v>
      </c>
      <c r="BG83" s="276">
        <v>0</v>
      </c>
      <c r="BH83" s="276">
        <v>0</v>
      </c>
      <c r="BI83" s="278" t="s">
        <v>550</v>
      </c>
      <c r="BJ83" s="276">
        <v>0</v>
      </c>
      <c r="BK83" s="276">
        <v>0</v>
      </c>
      <c r="BL83" s="276">
        <v>0</v>
      </c>
      <c r="BM83" s="276">
        <v>0</v>
      </c>
      <c r="BN83" s="276">
        <v>0</v>
      </c>
      <c r="BO83" s="276">
        <v>0</v>
      </c>
      <c r="BP83" s="276">
        <v>0</v>
      </c>
    </row>
    <row r="84" spans="1:68" x14ac:dyDescent="0.35">
      <c r="A84" s="277" t="s">
        <v>563</v>
      </c>
      <c r="B84" s="277" t="s">
        <v>562</v>
      </c>
      <c r="C84" s="283" t="s">
        <v>939</v>
      </c>
      <c r="D84" s="277" t="s">
        <v>560</v>
      </c>
      <c r="F84" s="277" t="s">
        <v>938</v>
      </c>
      <c r="K84" s="277" t="s">
        <v>883</v>
      </c>
      <c r="L84" s="277" t="s">
        <v>557</v>
      </c>
      <c r="N84" s="277" t="s">
        <v>884</v>
      </c>
      <c r="O84" s="277" t="s">
        <v>883</v>
      </c>
      <c r="P84" s="277" t="s">
        <v>557</v>
      </c>
      <c r="Q84" s="277" t="s">
        <v>556</v>
      </c>
      <c r="R84" s="277" t="s">
        <v>883</v>
      </c>
      <c r="S84" s="276">
        <v>0</v>
      </c>
      <c r="T84" s="276">
        <v>0</v>
      </c>
      <c r="U84" s="276">
        <v>0</v>
      </c>
      <c r="V84" s="276">
        <v>0</v>
      </c>
      <c r="W84" s="276">
        <v>0</v>
      </c>
      <c r="X84" s="276">
        <v>0</v>
      </c>
      <c r="Y84" s="276">
        <v>0</v>
      </c>
      <c r="Z84" s="276">
        <v>0</v>
      </c>
      <c r="AA84" s="276">
        <v>0</v>
      </c>
      <c r="AB84" s="276">
        <v>0</v>
      </c>
      <c r="AC84" s="276"/>
      <c r="AD84" s="276">
        <v>0</v>
      </c>
      <c r="AE84" s="276"/>
      <c r="AF84" s="276">
        <v>0</v>
      </c>
      <c r="AG84" s="276">
        <v>0</v>
      </c>
      <c r="AH84" s="283" t="s">
        <v>483</v>
      </c>
      <c r="AJ84" s="281" t="s">
        <v>553</v>
      </c>
      <c r="AK84" s="280" t="s">
        <v>552</v>
      </c>
      <c r="AL84" s="276">
        <v>0</v>
      </c>
      <c r="AM84" s="279">
        <v>0</v>
      </c>
      <c r="AN84" s="276">
        <v>92.27</v>
      </c>
      <c r="AO84" s="276">
        <v>0</v>
      </c>
      <c r="AP84" s="279">
        <v>0</v>
      </c>
      <c r="AQ84" s="276">
        <v>0</v>
      </c>
      <c r="AR84" s="276">
        <v>0</v>
      </c>
      <c r="AS84" s="271">
        <v>2</v>
      </c>
      <c r="AT84" s="276">
        <v>0</v>
      </c>
      <c r="AU84" s="279">
        <v>0</v>
      </c>
      <c r="AV84" s="276">
        <v>0</v>
      </c>
      <c r="AW84" s="276">
        <v>0</v>
      </c>
      <c r="AX84" s="279">
        <v>0</v>
      </c>
      <c r="AY84" s="276">
        <v>0</v>
      </c>
      <c r="AZ84" s="276">
        <v>0</v>
      </c>
      <c r="BA84" s="278" t="s">
        <v>551</v>
      </c>
      <c r="BB84" s="276">
        <v>0</v>
      </c>
      <c r="BC84" s="279">
        <v>0</v>
      </c>
      <c r="BD84" s="276">
        <v>0</v>
      </c>
      <c r="BE84" s="276">
        <v>0</v>
      </c>
      <c r="BF84" s="279">
        <v>0</v>
      </c>
      <c r="BG84" s="276">
        <v>0</v>
      </c>
      <c r="BH84" s="276">
        <v>0</v>
      </c>
      <c r="BI84" s="278" t="s">
        <v>550</v>
      </c>
      <c r="BJ84" s="276">
        <v>0</v>
      </c>
      <c r="BK84" s="276">
        <v>0</v>
      </c>
      <c r="BL84" s="276">
        <v>0</v>
      </c>
      <c r="BM84" s="276">
        <v>0</v>
      </c>
      <c r="BN84" s="276">
        <v>0</v>
      </c>
      <c r="BO84" s="276">
        <v>0</v>
      </c>
      <c r="BP84" s="276">
        <v>0</v>
      </c>
    </row>
    <row r="85" spans="1:68" x14ac:dyDescent="0.35">
      <c r="A85" s="277" t="s">
        <v>563</v>
      </c>
      <c r="B85" s="277" t="s">
        <v>562</v>
      </c>
      <c r="C85" s="283" t="s">
        <v>937</v>
      </c>
      <c r="D85" s="277" t="s">
        <v>560</v>
      </c>
      <c r="F85" s="277" t="s">
        <v>936</v>
      </c>
      <c r="K85" s="277" t="s">
        <v>883</v>
      </c>
      <c r="L85" s="277" t="s">
        <v>557</v>
      </c>
      <c r="N85" s="277" t="s">
        <v>884</v>
      </c>
      <c r="O85" s="277" t="s">
        <v>883</v>
      </c>
      <c r="P85" s="277" t="s">
        <v>557</v>
      </c>
      <c r="Q85" s="277" t="s">
        <v>556</v>
      </c>
      <c r="R85" s="277" t="s">
        <v>883</v>
      </c>
      <c r="S85" s="276">
        <v>2150</v>
      </c>
      <c r="T85" s="276">
        <v>0</v>
      </c>
      <c r="U85" s="276">
        <v>0</v>
      </c>
      <c r="V85" s="276">
        <v>0</v>
      </c>
      <c r="W85" s="276">
        <v>0</v>
      </c>
      <c r="X85" s="276">
        <v>0</v>
      </c>
      <c r="Y85" s="276">
        <v>0</v>
      </c>
      <c r="Z85" s="276">
        <v>0</v>
      </c>
      <c r="AA85" s="276">
        <v>0</v>
      </c>
      <c r="AB85" s="276">
        <v>0</v>
      </c>
      <c r="AC85" s="276"/>
      <c r="AD85" s="276">
        <v>0</v>
      </c>
      <c r="AE85" s="276"/>
      <c r="AF85" s="276">
        <v>0</v>
      </c>
      <c r="AG85" s="276">
        <v>0</v>
      </c>
      <c r="AH85" s="283" t="s">
        <v>483</v>
      </c>
      <c r="AJ85" s="281" t="s">
        <v>553</v>
      </c>
      <c r="AK85" s="280" t="s">
        <v>552</v>
      </c>
      <c r="AL85" s="276">
        <v>0</v>
      </c>
      <c r="AM85" s="279">
        <v>0</v>
      </c>
      <c r="AN85" s="276">
        <v>33.200000000000003</v>
      </c>
      <c r="AO85" s="276">
        <v>0</v>
      </c>
      <c r="AP85" s="279">
        <v>0</v>
      </c>
      <c r="AQ85" s="276">
        <v>0</v>
      </c>
      <c r="AR85" s="276">
        <v>0</v>
      </c>
      <c r="AS85" s="271">
        <v>2</v>
      </c>
      <c r="AT85" s="276">
        <v>0</v>
      </c>
      <c r="AU85" s="279">
        <v>0</v>
      </c>
      <c r="AV85" s="276">
        <v>0</v>
      </c>
      <c r="AW85" s="276">
        <v>0</v>
      </c>
      <c r="AX85" s="279">
        <v>0</v>
      </c>
      <c r="AY85" s="276">
        <v>0</v>
      </c>
      <c r="AZ85" s="276">
        <v>0</v>
      </c>
      <c r="BA85" s="278" t="s">
        <v>551</v>
      </c>
      <c r="BB85" s="276">
        <v>0</v>
      </c>
      <c r="BC85" s="279">
        <v>0</v>
      </c>
      <c r="BD85" s="276">
        <v>0</v>
      </c>
      <c r="BE85" s="276">
        <v>0</v>
      </c>
      <c r="BF85" s="279">
        <v>0</v>
      </c>
      <c r="BG85" s="276">
        <v>0</v>
      </c>
      <c r="BH85" s="276">
        <v>0</v>
      </c>
      <c r="BI85" s="278" t="s">
        <v>550</v>
      </c>
      <c r="BJ85" s="276">
        <v>0</v>
      </c>
      <c r="BK85" s="276">
        <v>0</v>
      </c>
      <c r="BL85" s="276">
        <v>0</v>
      </c>
      <c r="BM85" s="276">
        <v>0</v>
      </c>
      <c r="BN85" s="276">
        <v>0</v>
      </c>
      <c r="BO85" s="276">
        <v>0</v>
      </c>
      <c r="BP85" s="276">
        <v>0</v>
      </c>
    </row>
    <row r="86" spans="1:68" x14ac:dyDescent="0.35">
      <c r="A86" s="277" t="s">
        <v>563</v>
      </c>
      <c r="B86" s="277" t="s">
        <v>562</v>
      </c>
      <c r="C86" s="283" t="s">
        <v>935</v>
      </c>
      <c r="D86" s="277" t="s">
        <v>560</v>
      </c>
      <c r="F86" s="277" t="s">
        <v>934</v>
      </c>
      <c r="K86" s="277" t="s">
        <v>883</v>
      </c>
      <c r="L86" s="277" t="s">
        <v>557</v>
      </c>
      <c r="N86" s="277" t="s">
        <v>884</v>
      </c>
      <c r="O86" s="277" t="s">
        <v>883</v>
      </c>
      <c r="P86" s="277" t="s">
        <v>557</v>
      </c>
      <c r="Q86" s="277" t="s">
        <v>556</v>
      </c>
      <c r="R86" s="277" t="s">
        <v>883</v>
      </c>
      <c r="S86" s="276">
        <v>0</v>
      </c>
      <c r="T86" s="276">
        <v>0</v>
      </c>
      <c r="U86" s="276">
        <v>0</v>
      </c>
      <c r="V86" s="276">
        <v>0</v>
      </c>
      <c r="W86" s="276">
        <v>0</v>
      </c>
      <c r="X86" s="276">
        <v>0</v>
      </c>
      <c r="Y86" s="276">
        <v>0</v>
      </c>
      <c r="Z86" s="276">
        <v>0</v>
      </c>
      <c r="AA86" s="276">
        <v>0</v>
      </c>
      <c r="AB86" s="276">
        <v>0</v>
      </c>
      <c r="AC86" s="276"/>
      <c r="AD86" s="276">
        <v>0</v>
      </c>
      <c r="AE86" s="276"/>
      <c r="AF86" s="276">
        <v>0</v>
      </c>
      <c r="AG86" s="276">
        <v>0</v>
      </c>
      <c r="AH86" s="283" t="s">
        <v>86</v>
      </c>
      <c r="AI86" s="282" t="s">
        <v>933</v>
      </c>
      <c r="AJ86" s="281" t="s">
        <v>553</v>
      </c>
      <c r="AK86" s="280" t="s">
        <v>552</v>
      </c>
      <c r="AL86" s="276">
        <v>0.61</v>
      </c>
      <c r="AM86" s="279">
        <v>0</v>
      </c>
      <c r="AN86" s="276">
        <v>0</v>
      </c>
      <c r="AO86" s="276">
        <v>0.61</v>
      </c>
      <c r="AP86" s="279">
        <v>0</v>
      </c>
      <c r="AQ86" s="276">
        <v>0</v>
      </c>
      <c r="AR86" s="276">
        <v>0</v>
      </c>
      <c r="AS86" s="271">
        <v>2</v>
      </c>
      <c r="AT86" s="276">
        <v>0</v>
      </c>
      <c r="AU86" s="279">
        <v>0</v>
      </c>
      <c r="AV86" s="276">
        <v>0</v>
      </c>
      <c r="AW86" s="276">
        <v>0</v>
      </c>
      <c r="AX86" s="279">
        <v>0</v>
      </c>
      <c r="AY86" s="276">
        <v>0</v>
      </c>
      <c r="AZ86" s="276">
        <v>0</v>
      </c>
      <c r="BA86" s="278" t="s">
        <v>551</v>
      </c>
      <c r="BB86" s="276">
        <v>0</v>
      </c>
      <c r="BC86" s="279">
        <v>0</v>
      </c>
      <c r="BD86" s="276">
        <v>0</v>
      </c>
      <c r="BE86" s="276">
        <v>0</v>
      </c>
      <c r="BF86" s="279">
        <v>0</v>
      </c>
      <c r="BG86" s="276">
        <v>0</v>
      </c>
      <c r="BH86" s="276">
        <v>0</v>
      </c>
      <c r="BI86" s="278" t="s">
        <v>550</v>
      </c>
      <c r="BJ86" s="276">
        <v>0</v>
      </c>
      <c r="BK86" s="276">
        <v>0</v>
      </c>
      <c r="BL86" s="276">
        <v>0</v>
      </c>
      <c r="BM86" s="276">
        <v>0</v>
      </c>
      <c r="BN86" s="276">
        <v>0</v>
      </c>
      <c r="BO86" s="276">
        <v>0</v>
      </c>
      <c r="BP86" s="276">
        <v>0</v>
      </c>
    </row>
    <row r="87" spans="1:68" x14ac:dyDescent="0.35">
      <c r="A87" s="277" t="s">
        <v>563</v>
      </c>
      <c r="B87" s="277" t="s">
        <v>562</v>
      </c>
      <c r="C87" s="283" t="s">
        <v>932</v>
      </c>
      <c r="D87" s="277" t="s">
        <v>560</v>
      </c>
      <c r="F87" s="277" t="s">
        <v>931</v>
      </c>
      <c r="K87" s="277" t="s">
        <v>883</v>
      </c>
      <c r="L87" s="277" t="s">
        <v>557</v>
      </c>
      <c r="N87" s="277" t="s">
        <v>884</v>
      </c>
      <c r="O87" s="277" t="s">
        <v>883</v>
      </c>
      <c r="P87" s="277" t="s">
        <v>557</v>
      </c>
      <c r="Q87" s="277" t="s">
        <v>556</v>
      </c>
      <c r="R87" s="277" t="s">
        <v>883</v>
      </c>
      <c r="S87" s="276">
        <v>0</v>
      </c>
      <c r="T87" s="276">
        <v>0</v>
      </c>
      <c r="U87" s="276">
        <v>0</v>
      </c>
      <c r="V87" s="276">
        <v>0</v>
      </c>
      <c r="W87" s="276">
        <v>0</v>
      </c>
      <c r="X87" s="276">
        <v>0</v>
      </c>
      <c r="Y87" s="276">
        <v>0</v>
      </c>
      <c r="Z87" s="276">
        <v>0</v>
      </c>
      <c r="AA87" s="276">
        <v>0</v>
      </c>
      <c r="AB87" s="276">
        <v>0</v>
      </c>
      <c r="AC87" s="276"/>
      <c r="AD87" s="276">
        <v>0</v>
      </c>
      <c r="AE87" s="276"/>
      <c r="AF87" s="276">
        <v>0</v>
      </c>
      <c r="AG87" s="276">
        <v>0</v>
      </c>
      <c r="AH87" s="283" t="s">
        <v>483</v>
      </c>
      <c r="AJ87" s="281" t="s">
        <v>553</v>
      </c>
      <c r="AK87" s="280" t="s">
        <v>552</v>
      </c>
      <c r="AL87" s="276">
        <v>1.1000000000000001</v>
      </c>
      <c r="AM87" s="279">
        <v>0</v>
      </c>
      <c r="AN87" s="276">
        <v>0</v>
      </c>
      <c r="AO87" s="276">
        <v>1.1000000000000001</v>
      </c>
      <c r="AP87" s="279">
        <v>0</v>
      </c>
      <c r="AQ87" s="276">
        <v>0</v>
      </c>
      <c r="AR87" s="276">
        <v>0</v>
      </c>
      <c r="AS87" s="271">
        <v>2</v>
      </c>
      <c r="AT87" s="276">
        <v>0</v>
      </c>
      <c r="AU87" s="279">
        <v>0</v>
      </c>
      <c r="AV87" s="276">
        <v>0</v>
      </c>
      <c r="AW87" s="276">
        <v>0</v>
      </c>
      <c r="AX87" s="279">
        <v>0</v>
      </c>
      <c r="AY87" s="276">
        <v>0</v>
      </c>
      <c r="AZ87" s="276">
        <v>0</v>
      </c>
      <c r="BA87" s="278" t="s">
        <v>551</v>
      </c>
      <c r="BB87" s="276">
        <v>0</v>
      </c>
      <c r="BC87" s="279">
        <v>0</v>
      </c>
      <c r="BD87" s="276">
        <v>0</v>
      </c>
      <c r="BE87" s="276">
        <v>0</v>
      </c>
      <c r="BF87" s="279">
        <v>0</v>
      </c>
      <c r="BG87" s="276">
        <v>0</v>
      </c>
      <c r="BH87" s="276">
        <v>0</v>
      </c>
      <c r="BI87" s="278" t="s">
        <v>550</v>
      </c>
      <c r="BJ87" s="276">
        <v>0</v>
      </c>
      <c r="BK87" s="276">
        <v>0</v>
      </c>
      <c r="BL87" s="276">
        <v>0</v>
      </c>
      <c r="BM87" s="276">
        <v>0</v>
      </c>
      <c r="BN87" s="276">
        <v>0</v>
      </c>
      <c r="BO87" s="276">
        <v>0</v>
      </c>
      <c r="BP87" s="276">
        <v>0</v>
      </c>
    </row>
    <row r="88" spans="1:68" x14ac:dyDescent="0.35">
      <c r="A88" s="277" t="s">
        <v>563</v>
      </c>
      <c r="B88" s="277" t="s">
        <v>562</v>
      </c>
      <c r="C88" s="283" t="s">
        <v>930</v>
      </c>
      <c r="D88" s="277" t="s">
        <v>560</v>
      </c>
      <c r="F88" s="277" t="s">
        <v>929</v>
      </c>
      <c r="K88" s="277" t="s">
        <v>883</v>
      </c>
      <c r="L88" s="277" t="s">
        <v>557</v>
      </c>
      <c r="N88" s="277" t="s">
        <v>884</v>
      </c>
      <c r="O88" s="277" t="s">
        <v>883</v>
      </c>
      <c r="P88" s="277" t="s">
        <v>557</v>
      </c>
      <c r="Q88" s="277" t="s">
        <v>556</v>
      </c>
      <c r="R88" s="277" t="s">
        <v>883</v>
      </c>
      <c r="S88" s="276">
        <v>0</v>
      </c>
      <c r="T88" s="276">
        <v>0</v>
      </c>
      <c r="U88" s="276">
        <v>0</v>
      </c>
      <c r="V88" s="276">
        <v>0</v>
      </c>
      <c r="W88" s="276">
        <v>0</v>
      </c>
      <c r="X88" s="276">
        <v>0</v>
      </c>
      <c r="Y88" s="276">
        <v>0</v>
      </c>
      <c r="Z88" s="276">
        <v>0</v>
      </c>
      <c r="AA88" s="276">
        <v>0</v>
      </c>
      <c r="AB88" s="276">
        <v>0</v>
      </c>
      <c r="AC88" s="276"/>
      <c r="AD88" s="276">
        <v>0</v>
      </c>
      <c r="AE88" s="276"/>
      <c r="AF88" s="276">
        <v>0</v>
      </c>
      <c r="AG88" s="276">
        <v>0</v>
      </c>
      <c r="AH88" s="283" t="s">
        <v>483</v>
      </c>
      <c r="AJ88" s="281" t="s">
        <v>553</v>
      </c>
      <c r="AK88" s="280" t="s">
        <v>552</v>
      </c>
      <c r="AL88" s="276">
        <v>0.67</v>
      </c>
      <c r="AM88" s="279">
        <v>0</v>
      </c>
      <c r="AN88" s="276">
        <v>0</v>
      </c>
      <c r="AO88" s="276">
        <v>0.67</v>
      </c>
      <c r="AP88" s="279">
        <v>0</v>
      </c>
      <c r="AQ88" s="276">
        <v>0</v>
      </c>
      <c r="AR88" s="276">
        <v>0</v>
      </c>
      <c r="AS88" s="271">
        <v>2</v>
      </c>
      <c r="AT88" s="276">
        <v>0</v>
      </c>
      <c r="AU88" s="279">
        <v>0</v>
      </c>
      <c r="AV88" s="276">
        <v>0</v>
      </c>
      <c r="AW88" s="276">
        <v>0</v>
      </c>
      <c r="AX88" s="279">
        <v>0</v>
      </c>
      <c r="AY88" s="276">
        <v>0</v>
      </c>
      <c r="AZ88" s="276">
        <v>0</v>
      </c>
      <c r="BA88" s="278" t="s">
        <v>551</v>
      </c>
      <c r="BB88" s="276">
        <v>0</v>
      </c>
      <c r="BC88" s="279">
        <v>0</v>
      </c>
      <c r="BD88" s="276">
        <v>0</v>
      </c>
      <c r="BE88" s="276">
        <v>0</v>
      </c>
      <c r="BF88" s="279">
        <v>0</v>
      </c>
      <c r="BG88" s="276">
        <v>0</v>
      </c>
      <c r="BH88" s="276">
        <v>0</v>
      </c>
      <c r="BI88" s="278" t="s">
        <v>550</v>
      </c>
      <c r="BJ88" s="276">
        <v>0</v>
      </c>
      <c r="BK88" s="276">
        <v>0</v>
      </c>
      <c r="BL88" s="276">
        <v>0</v>
      </c>
      <c r="BM88" s="276">
        <v>0</v>
      </c>
      <c r="BN88" s="276">
        <v>0</v>
      </c>
      <c r="BO88" s="276">
        <v>0</v>
      </c>
      <c r="BP88" s="276">
        <v>0</v>
      </c>
    </row>
    <row r="89" spans="1:68" x14ac:dyDescent="0.35">
      <c r="A89" s="277" t="s">
        <v>563</v>
      </c>
      <c r="B89" s="277" t="s">
        <v>562</v>
      </c>
      <c r="C89" s="283" t="s">
        <v>928</v>
      </c>
      <c r="D89" s="277" t="s">
        <v>560</v>
      </c>
      <c r="F89" s="277" t="s">
        <v>927</v>
      </c>
      <c r="K89" s="277" t="s">
        <v>883</v>
      </c>
      <c r="L89" s="277" t="s">
        <v>557</v>
      </c>
      <c r="N89" s="277" t="s">
        <v>884</v>
      </c>
      <c r="O89" s="277" t="s">
        <v>883</v>
      </c>
      <c r="P89" s="277" t="s">
        <v>557</v>
      </c>
      <c r="Q89" s="277" t="s">
        <v>556</v>
      </c>
      <c r="R89" s="277" t="s">
        <v>883</v>
      </c>
      <c r="S89" s="276">
        <v>1512</v>
      </c>
      <c r="T89" s="276">
        <v>0</v>
      </c>
      <c r="U89" s="276">
        <v>0</v>
      </c>
      <c r="V89" s="276">
        <v>0</v>
      </c>
      <c r="W89" s="276">
        <v>0</v>
      </c>
      <c r="X89" s="276">
        <v>0</v>
      </c>
      <c r="Y89" s="276">
        <v>0</v>
      </c>
      <c r="Z89" s="276">
        <v>0</v>
      </c>
      <c r="AA89" s="276">
        <v>0</v>
      </c>
      <c r="AB89" s="276">
        <v>0</v>
      </c>
      <c r="AC89" s="276"/>
      <c r="AD89" s="276">
        <v>0</v>
      </c>
      <c r="AE89" s="276"/>
      <c r="AF89" s="276">
        <v>0</v>
      </c>
      <c r="AG89" s="276">
        <v>0</v>
      </c>
      <c r="AH89" s="283" t="s">
        <v>483</v>
      </c>
      <c r="AJ89" s="281" t="s">
        <v>553</v>
      </c>
      <c r="AK89" s="280" t="s">
        <v>552</v>
      </c>
      <c r="AL89" s="276">
        <v>0</v>
      </c>
      <c r="AM89" s="279">
        <v>0</v>
      </c>
      <c r="AN89" s="276">
        <v>36</v>
      </c>
      <c r="AO89" s="276">
        <v>0</v>
      </c>
      <c r="AP89" s="279">
        <v>0</v>
      </c>
      <c r="AQ89" s="276">
        <v>0</v>
      </c>
      <c r="AR89" s="276">
        <v>0</v>
      </c>
      <c r="AS89" s="271">
        <v>2</v>
      </c>
      <c r="AT89" s="276">
        <v>0</v>
      </c>
      <c r="AU89" s="279">
        <v>0</v>
      </c>
      <c r="AV89" s="276">
        <v>0</v>
      </c>
      <c r="AW89" s="276">
        <v>0</v>
      </c>
      <c r="AX89" s="279">
        <v>0</v>
      </c>
      <c r="AY89" s="276">
        <v>0</v>
      </c>
      <c r="AZ89" s="276">
        <v>0</v>
      </c>
      <c r="BA89" s="278" t="s">
        <v>551</v>
      </c>
      <c r="BB89" s="276">
        <v>0</v>
      </c>
      <c r="BC89" s="279">
        <v>0</v>
      </c>
      <c r="BD89" s="276">
        <v>0</v>
      </c>
      <c r="BE89" s="276">
        <v>0</v>
      </c>
      <c r="BF89" s="279">
        <v>0</v>
      </c>
      <c r="BG89" s="276">
        <v>0</v>
      </c>
      <c r="BH89" s="276">
        <v>0</v>
      </c>
      <c r="BI89" s="278" t="s">
        <v>550</v>
      </c>
      <c r="BJ89" s="276">
        <v>0</v>
      </c>
      <c r="BK89" s="276">
        <v>0</v>
      </c>
      <c r="BL89" s="276">
        <v>0</v>
      </c>
      <c r="BM89" s="276">
        <v>0</v>
      </c>
      <c r="BN89" s="276">
        <v>0</v>
      </c>
      <c r="BO89" s="276">
        <v>0</v>
      </c>
      <c r="BP89" s="276">
        <v>0</v>
      </c>
    </row>
    <row r="90" spans="1:68" x14ac:dyDescent="0.35">
      <c r="A90" s="277" t="s">
        <v>563</v>
      </c>
      <c r="B90" s="277" t="s">
        <v>562</v>
      </c>
      <c r="C90" s="283" t="s">
        <v>926</v>
      </c>
      <c r="D90" s="277" t="s">
        <v>560</v>
      </c>
      <c r="F90" s="277" t="s">
        <v>925</v>
      </c>
      <c r="K90" s="277" t="s">
        <v>883</v>
      </c>
      <c r="L90" s="277" t="s">
        <v>557</v>
      </c>
      <c r="N90" s="277" t="s">
        <v>884</v>
      </c>
      <c r="O90" s="277" t="s">
        <v>883</v>
      </c>
      <c r="P90" s="277" t="s">
        <v>557</v>
      </c>
      <c r="Q90" s="277" t="s">
        <v>556</v>
      </c>
      <c r="R90" s="277" t="s">
        <v>883</v>
      </c>
      <c r="S90" s="276">
        <v>0</v>
      </c>
      <c r="T90" s="276">
        <v>0</v>
      </c>
      <c r="U90" s="276">
        <v>0</v>
      </c>
      <c r="V90" s="276">
        <v>0</v>
      </c>
      <c r="W90" s="276">
        <v>0</v>
      </c>
      <c r="X90" s="276">
        <v>0</v>
      </c>
      <c r="Y90" s="276">
        <v>0</v>
      </c>
      <c r="Z90" s="276">
        <v>0</v>
      </c>
      <c r="AA90" s="276">
        <v>0</v>
      </c>
      <c r="AB90" s="276">
        <v>0</v>
      </c>
      <c r="AC90" s="276"/>
      <c r="AD90" s="276">
        <v>0</v>
      </c>
      <c r="AE90" s="276"/>
      <c r="AF90" s="276">
        <v>0</v>
      </c>
      <c r="AG90" s="276">
        <v>0</v>
      </c>
      <c r="AH90" s="283" t="s">
        <v>483</v>
      </c>
      <c r="AJ90" s="281" t="s">
        <v>553</v>
      </c>
      <c r="AK90" s="280" t="s">
        <v>552</v>
      </c>
      <c r="AL90" s="276">
        <v>0</v>
      </c>
      <c r="AM90" s="279">
        <v>0</v>
      </c>
      <c r="AN90" s="276">
        <v>95</v>
      </c>
      <c r="AO90" s="276">
        <v>0</v>
      </c>
      <c r="AP90" s="279">
        <v>0</v>
      </c>
      <c r="AQ90" s="276">
        <v>0</v>
      </c>
      <c r="AR90" s="276">
        <v>0</v>
      </c>
      <c r="AS90" s="271">
        <v>2</v>
      </c>
      <c r="AT90" s="276">
        <v>0</v>
      </c>
      <c r="AU90" s="279">
        <v>0</v>
      </c>
      <c r="AV90" s="276">
        <v>0</v>
      </c>
      <c r="AW90" s="276">
        <v>0</v>
      </c>
      <c r="AX90" s="279">
        <v>0</v>
      </c>
      <c r="AY90" s="276">
        <v>0</v>
      </c>
      <c r="AZ90" s="276">
        <v>0</v>
      </c>
      <c r="BA90" s="278" t="s">
        <v>551</v>
      </c>
      <c r="BB90" s="276">
        <v>0</v>
      </c>
      <c r="BC90" s="279">
        <v>0</v>
      </c>
      <c r="BD90" s="276">
        <v>0</v>
      </c>
      <c r="BE90" s="276">
        <v>0</v>
      </c>
      <c r="BF90" s="279">
        <v>0</v>
      </c>
      <c r="BG90" s="276">
        <v>0</v>
      </c>
      <c r="BH90" s="276">
        <v>0</v>
      </c>
      <c r="BI90" s="278" t="s">
        <v>550</v>
      </c>
      <c r="BJ90" s="276">
        <v>0</v>
      </c>
      <c r="BK90" s="276">
        <v>0</v>
      </c>
      <c r="BL90" s="276">
        <v>0</v>
      </c>
      <c r="BM90" s="276">
        <v>0</v>
      </c>
      <c r="BN90" s="276">
        <v>0</v>
      </c>
      <c r="BO90" s="276">
        <v>0</v>
      </c>
      <c r="BP90" s="276">
        <v>0</v>
      </c>
    </row>
    <row r="91" spans="1:68" x14ac:dyDescent="0.35">
      <c r="A91" s="277" t="s">
        <v>563</v>
      </c>
      <c r="B91" s="277" t="s">
        <v>562</v>
      </c>
      <c r="C91" s="283" t="s">
        <v>924</v>
      </c>
      <c r="D91" s="277" t="s">
        <v>560</v>
      </c>
      <c r="F91" s="277" t="s">
        <v>923</v>
      </c>
      <c r="K91" s="277" t="s">
        <v>883</v>
      </c>
      <c r="L91" s="277" t="s">
        <v>557</v>
      </c>
      <c r="N91" s="277" t="s">
        <v>884</v>
      </c>
      <c r="O91" s="277" t="s">
        <v>883</v>
      </c>
      <c r="P91" s="277" t="s">
        <v>557</v>
      </c>
      <c r="Q91" s="277" t="s">
        <v>556</v>
      </c>
      <c r="R91" s="277" t="s">
        <v>883</v>
      </c>
      <c r="S91" s="276">
        <v>0</v>
      </c>
      <c r="T91" s="276">
        <v>0</v>
      </c>
      <c r="U91" s="276">
        <v>0</v>
      </c>
      <c r="V91" s="276">
        <v>0</v>
      </c>
      <c r="W91" s="276">
        <v>0</v>
      </c>
      <c r="X91" s="276">
        <v>0</v>
      </c>
      <c r="Y91" s="276">
        <v>0</v>
      </c>
      <c r="Z91" s="276">
        <v>0</v>
      </c>
      <c r="AA91" s="276">
        <v>0</v>
      </c>
      <c r="AB91" s="276">
        <v>0</v>
      </c>
      <c r="AC91" s="276"/>
      <c r="AD91" s="276">
        <v>0</v>
      </c>
      <c r="AE91" s="276"/>
      <c r="AF91" s="276">
        <v>0</v>
      </c>
      <c r="AG91" s="276">
        <v>0</v>
      </c>
      <c r="AH91" s="283" t="s">
        <v>86</v>
      </c>
      <c r="AI91" s="282" t="s">
        <v>920</v>
      </c>
      <c r="AJ91" s="281" t="s">
        <v>553</v>
      </c>
      <c r="AK91" s="280" t="s">
        <v>552</v>
      </c>
      <c r="AL91" s="276">
        <v>0.64</v>
      </c>
      <c r="AM91" s="279">
        <v>0</v>
      </c>
      <c r="AN91" s="276">
        <v>0</v>
      </c>
      <c r="AO91" s="276">
        <v>0.64</v>
      </c>
      <c r="AP91" s="279">
        <v>0</v>
      </c>
      <c r="AQ91" s="276">
        <v>0</v>
      </c>
      <c r="AR91" s="276">
        <v>0</v>
      </c>
      <c r="AS91" s="271">
        <v>2</v>
      </c>
      <c r="AT91" s="276">
        <v>0</v>
      </c>
      <c r="AU91" s="279">
        <v>0</v>
      </c>
      <c r="AV91" s="276">
        <v>0</v>
      </c>
      <c r="AW91" s="276">
        <v>0</v>
      </c>
      <c r="AX91" s="279">
        <v>0</v>
      </c>
      <c r="AY91" s="276">
        <v>0</v>
      </c>
      <c r="AZ91" s="276">
        <v>0</v>
      </c>
      <c r="BA91" s="278" t="s">
        <v>551</v>
      </c>
      <c r="BB91" s="276">
        <v>0</v>
      </c>
      <c r="BC91" s="279">
        <v>0</v>
      </c>
      <c r="BD91" s="276">
        <v>0</v>
      </c>
      <c r="BE91" s="276">
        <v>0</v>
      </c>
      <c r="BF91" s="279">
        <v>0</v>
      </c>
      <c r="BG91" s="276">
        <v>0</v>
      </c>
      <c r="BH91" s="276">
        <v>0</v>
      </c>
      <c r="BI91" s="278" t="s">
        <v>550</v>
      </c>
      <c r="BJ91" s="276">
        <v>0</v>
      </c>
      <c r="BK91" s="276">
        <v>0</v>
      </c>
      <c r="BL91" s="276">
        <v>0</v>
      </c>
      <c r="BM91" s="276">
        <v>0</v>
      </c>
      <c r="BN91" s="276">
        <v>0</v>
      </c>
      <c r="BO91" s="276">
        <v>0</v>
      </c>
      <c r="BP91" s="276">
        <v>0</v>
      </c>
    </row>
    <row r="92" spans="1:68" x14ac:dyDescent="0.35">
      <c r="A92" s="277" t="s">
        <v>563</v>
      </c>
      <c r="B92" s="277" t="s">
        <v>562</v>
      </c>
      <c r="C92" s="283" t="s">
        <v>922</v>
      </c>
      <c r="D92" s="277" t="s">
        <v>560</v>
      </c>
      <c r="F92" s="277" t="s">
        <v>921</v>
      </c>
      <c r="K92" s="277" t="s">
        <v>883</v>
      </c>
      <c r="L92" s="277" t="s">
        <v>557</v>
      </c>
      <c r="N92" s="277" t="s">
        <v>884</v>
      </c>
      <c r="O92" s="277" t="s">
        <v>883</v>
      </c>
      <c r="P92" s="277" t="s">
        <v>557</v>
      </c>
      <c r="Q92" s="277" t="s">
        <v>556</v>
      </c>
      <c r="R92" s="277" t="s">
        <v>883</v>
      </c>
      <c r="S92" s="276">
        <v>0</v>
      </c>
      <c r="T92" s="276">
        <v>0</v>
      </c>
      <c r="U92" s="276">
        <v>0</v>
      </c>
      <c r="V92" s="276">
        <v>0</v>
      </c>
      <c r="W92" s="276">
        <v>0</v>
      </c>
      <c r="X92" s="276">
        <v>0</v>
      </c>
      <c r="Y92" s="276">
        <v>0</v>
      </c>
      <c r="Z92" s="276">
        <v>0</v>
      </c>
      <c r="AA92" s="276">
        <v>0</v>
      </c>
      <c r="AB92" s="276">
        <v>0</v>
      </c>
      <c r="AC92" s="276"/>
      <c r="AD92" s="276">
        <v>0</v>
      </c>
      <c r="AE92" s="276"/>
      <c r="AF92" s="276">
        <v>0</v>
      </c>
      <c r="AG92" s="276">
        <v>0</v>
      </c>
      <c r="AH92" s="283" t="s">
        <v>86</v>
      </c>
      <c r="AI92" s="282" t="s">
        <v>918</v>
      </c>
      <c r="AJ92" s="281" t="s">
        <v>553</v>
      </c>
      <c r="AK92" s="280" t="s">
        <v>552</v>
      </c>
      <c r="AL92" s="276">
        <v>2.09</v>
      </c>
      <c r="AM92" s="279">
        <v>0</v>
      </c>
      <c r="AN92" s="276">
        <v>0</v>
      </c>
      <c r="AO92" s="276">
        <v>2.09</v>
      </c>
      <c r="AP92" s="279">
        <v>0</v>
      </c>
      <c r="AQ92" s="276">
        <v>0</v>
      </c>
      <c r="AR92" s="276">
        <v>0</v>
      </c>
      <c r="AS92" s="271">
        <v>2</v>
      </c>
      <c r="AT92" s="276">
        <v>0</v>
      </c>
      <c r="AU92" s="279">
        <v>0</v>
      </c>
      <c r="AV92" s="276">
        <v>0</v>
      </c>
      <c r="AW92" s="276">
        <v>0</v>
      </c>
      <c r="AX92" s="279">
        <v>0</v>
      </c>
      <c r="AY92" s="276">
        <v>0</v>
      </c>
      <c r="AZ92" s="276">
        <v>0</v>
      </c>
      <c r="BA92" s="278" t="s">
        <v>551</v>
      </c>
      <c r="BB92" s="276">
        <v>0</v>
      </c>
      <c r="BC92" s="279">
        <v>0</v>
      </c>
      <c r="BD92" s="276">
        <v>0</v>
      </c>
      <c r="BE92" s="276">
        <v>0</v>
      </c>
      <c r="BF92" s="279">
        <v>0</v>
      </c>
      <c r="BG92" s="276">
        <v>0</v>
      </c>
      <c r="BH92" s="276">
        <v>0</v>
      </c>
      <c r="BI92" s="278" t="s">
        <v>550</v>
      </c>
      <c r="BJ92" s="276">
        <v>0</v>
      </c>
      <c r="BK92" s="276">
        <v>0</v>
      </c>
      <c r="BL92" s="276">
        <v>0</v>
      </c>
      <c r="BM92" s="276">
        <v>0</v>
      </c>
      <c r="BN92" s="276">
        <v>0</v>
      </c>
      <c r="BO92" s="276">
        <v>0</v>
      </c>
      <c r="BP92" s="276">
        <v>0</v>
      </c>
    </row>
    <row r="93" spans="1:68" x14ac:dyDescent="0.35">
      <c r="A93" s="277" t="s">
        <v>563</v>
      </c>
      <c r="B93" s="277" t="s">
        <v>562</v>
      </c>
      <c r="C93" s="283" t="s">
        <v>920</v>
      </c>
      <c r="D93" s="277" t="s">
        <v>560</v>
      </c>
      <c r="F93" s="277" t="s">
        <v>919</v>
      </c>
      <c r="K93" s="277" t="s">
        <v>883</v>
      </c>
      <c r="L93" s="277" t="s">
        <v>557</v>
      </c>
      <c r="N93" s="277" t="s">
        <v>884</v>
      </c>
      <c r="O93" s="277" t="s">
        <v>883</v>
      </c>
      <c r="P93" s="277" t="s">
        <v>557</v>
      </c>
      <c r="Q93" s="277" t="s">
        <v>556</v>
      </c>
      <c r="R93" s="277" t="s">
        <v>883</v>
      </c>
      <c r="S93" s="276">
        <v>0</v>
      </c>
      <c r="T93" s="276">
        <v>0</v>
      </c>
      <c r="U93" s="276">
        <v>0</v>
      </c>
      <c r="V93" s="276">
        <v>0</v>
      </c>
      <c r="W93" s="276">
        <v>0</v>
      </c>
      <c r="X93" s="276">
        <v>0</v>
      </c>
      <c r="Y93" s="276">
        <v>0</v>
      </c>
      <c r="Z93" s="276">
        <v>0</v>
      </c>
      <c r="AA93" s="276">
        <v>0</v>
      </c>
      <c r="AB93" s="276">
        <v>0</v>
      </c>
      <c r="AC93" s="276"/>
      <c r="AD93" s="276">
        <v>0</v>
      </c>
      <c r="AE93" s="276"/>
      <c r="AF93" s="276">
        <v>0</v>
      </c>
      <c r="AG93" s="276">
        <v>0</v>
      </c>
      <c r="AH93" s="283" t="s">
        <v>483</v>
      </c>
      <c r="AJ93" s="281" t="s">
        <v>553</v>
      </c>
      <c r="AK93" s="280" t="s">
        <v>552</v>
      </c>
      <c r="AL93" s="276">
        <v>0.6</v>
      </c>
      <c r="AM93" s="279">
        <v>0</v>
      </c>
      <c r="AN93" s="276">
        <v>0</v>
      </c>
      <c r="AO93" s="276">
        <v>0.6</v>
      </c>
      <c r="AP93" s="279">
        <v>0</v>
      </c>
      <c r="AQ93" s="276">
        <v>0</v>
      </c>
      <c r="AR93" s="276">
        <v>0</v>
      </c>
      <c r="AS93" s="271">
        <v>2</v>
      </c>
      <c r="AT93" s="276">
        <v>0</v>
      </c>
      <c r="AU93" s="279">
        <v>0</v>
      </c>
      <c r="AV93" s="276">
        <v>0</v>
      </c>
      <c r="AW93" s="276">
        <v>0</v>
      </c>
      <c r="AX93" s="279">
        <v>0</v>
      </c>
      <c r="AY93" s="276">
        <v>0</v>
      </c>
      <c r="AZ93" s="276">
        <v>0</v>
      </c>
      <c r="BA93" s="278" t="s">
        <v>551</v>
      </c>
      <c r="BB93" s="276">
        <v>0</v>
      </c>
      <c r="BC93" s="279">
        <v>0</v>
      </c>
      <c r="BD93" s="276">
        <v>0</v>
      </c>
      <c r="BE93" s="276">
        <v>0</v>
      </c>
      <c r="BF93" s="279">
        <v>0</v>
      </c>
      <c r="BG93" s="276">
        <v>0</v>
      </c>
      <c r="BH93" s="276">
        <v>0</v>
      </c>
      <c r="BI93" s="278" t="s">
        <v>550</v>
      </c>
      <c r="BJ93" s="276">
        <v>0</v>
      </c>
      <c r="BK93" s="276">
        <v>0</v>
      </c>
      <c r="BL93" s="276">
        <v>0</v>
      </c>
      <c r="BM93" s="276">
        <v>0</v>
      </c>
      <c r="BN93" s="276">
        <v>0</v>
      </c>
      <c r="BO93" s="276">
        <v>0</v>
      </c>
      <c r="BP93" s="276">
        <v>0</v>
      </c>
    </row>
    <row r="94" spans="1:68" x14ac:dyDescent="0.35">
      <c r="A94" s="277" t="s">
        <v>563</v>
      </c>
      <c r="B94" s="277" t="s">
        <v>562</v>
      </c>
      <c r="C94" s="283" t="s">
        <v>918</v>
      </c>
      <c r="D94" s="277" t="s">
        <v>560</v>
      </c>
      <c r="F94" s="277" t="s">
        <v>917</v>
      </c>
      <c r="K94" s="277" t="s">
        <v>883</v>
      </c>
      <c r="L94" s="277" t="s">
        <v>557</v>
      </c>
      <c r="N94" s="277" t="s">
        <v>884</v>
      </c>
      <c r="O94" s="277" t="s">
        <v>883</v>
      </c>
      <c r="P94" s="277" t="s">
        <v>557</v>
      </c>
      <c r="Q94" s="277" t="s">
        <v>556</v>
      </c>
      <c r="R94" s="277" t="s">
        <v>883</v>
      </c>
      <c r="S94" s="276">
        <v>0</v>
      </c>
      <c r="T94" s="276">
        <v>0</v>
      </c>
      <c r="U94" s="276">
        <v>0</v>
      </c>
      <c r="V94" s="276">
        <v>0</v>
      </c>
      <c r="W94" s="276">
        <v>0</v>
      </c>
      <c r="X94" s="276">
        <v>0</v>
      </c>
      <c r="Y94" s="276">
        <v>0</v>
      </c>
      <c r="Z94" s="276">
        <v>0</v>
      </c>
      <c r="AA94" s="276">
        <v>0</v>
      </c>
      <c r="AB94" s="276">
        <v>0</v>
      </c>
      <c r="AC94" s="276"/>
      <c r="AD94" s="276">
        <v>0</v>
      </c>
      <c r="AE94" s="276"/>
      <c r="AF94" s="276">
        <v>0</v>
      </c>
      <c r="AG94" s="276">
        <v>0</v>
      </c>
      <c r="AH94" s="283" t="s">
        <v>483</v>
      </c>
      <c r="AJ94" s="281" t="s">
        <v>553</v>
      </c>
      <c r="AK94" s="280" t="s">
        <v>552</v>
      </c>
      <c r="AL94" s="276">
        <v>1.01</v>
      </c>
      <c r="AM94" s="279">
        <v>0</v>
      </c>
      <c r="AN94" s="276">
        <v>0</v>
      </c>
      <c r="AO94" s="276">
        <v>1.01</v>
      </c>
      <c r="AP94" s="279">
        <v>0</v>
      </c>
      <c r="AQ94" s="276">
        <v>0</v>
      </c>
      <c r="AR94" s="276">
        <v>0</v>
      </c>
      <c r="AS94" s="271">
        <v>2</v>
      </c>
      <c r="AT94" s="276">
        <v>0</v>
      </c>
      <c r="AU94" s="279">
        <v>0</v>
      </c>
      <c r="AV94" s="276">
        <v>0</v>
      </c>
      <c r="AW94" s="276">
        <v>0</v>
      </c>
      <c r="AX94" s="279">
        <v>0</v>
      </c>
      <c r="AY94" s="276">
        <v>0</v>
      </c>
      <c r="AZ94" s="276">
        <v>0</v>
      </c>
      <c r="BA94" s="278" t="s">
        <v>551</v>
      </c>
      <c r="BB94" s="276">
        <v>0</v>
      </c>
      <c r="BC94" s="279">
        <v>0</v>
      </c>
      <c r="BD94" s="276">
        <v>0</v>
      </c>
      <c r="BE94" s="276">
        <v>0</v>
      </c>
      <c r="BF94" s="279">
        <v>0</v>
      </c>
      <c r="BG94" s="276">
        <v>0</v>
      </c>
      <c r="BH94" s="276">
        <v>0</v>
      </c>
      <c r="BI94" s="278" t="s">
        <v>550</v>
      </c>
      <c r="BJ94" s="276">
        <v>0</v>
      </c>
      <c r="BK94" s="276">
        <v>0</v>
      </c>
      <c r="BL94" s="276">
        <v>0</v>
      </c>
      <c r="BM94" s="276">
        <v>0</v>
      </c>
      <c r="BN94" s="276">
        <v>0</v>
      </c>
      <c r="BO94" s="276">
        <v>0</v>
      </c>
      <c r="BP94" s="276">
        <v>0</v>
      </c>
    </row>
    <row r="95" spans="1:68" x14ac:dyDescent="0.35">
      <c r="A95" s="277" t="s">
        <v>563</v>
      </c>
      <c r="B95" s="277" t="s">
        <v>562</v>
      </c>
      <c r="C95" s="283" t="s">
        <v>916</v>
      </c>
      <c r="D95" s="277" t="s">
        <v>560</v>
      </c>
      <c r="F95" s="277" t="s">
        <v>915</v>
      </c>
      <c r="K95" s="277" t="s">
        <v>883</v>
      </c>
      <c r="L95" s="277" t="s">
        <v>557</v>
      </c>
      <c r="N95" s="277" t="s">
        <v>884</v>
      </c>
      <c r="O95" s="277" t="s">
        <v>883</v>
      </c>
      <c r="P95" s="277" t="s">
        <v>557</v>
      </c>
      <c r="Q95" s="277" t="s">
        <v>556</v>
      </c>
      <c r="R95" s="277" t="s">
        <v>883</v>
      </c>
      <c r="S95" s="276">
        <v>1134</v>
      </c>
      <c r="T95" s="276">
        <v>0</v>
      </c>
      <c r="U95" s="276">
        <v>0</v>
      </c>
      <c r="V95" s="276">
        <v>0</v>
      </c>
      <c r="W95" s="276">
        <v>0</v>
      </c>
      <c r="X95" s="276">
        <v>0</v>
      </c>
      <c r="Y95" s="276">
        <v>0</v>
      </c>
      <c r="Z95" s="276">
        <v>0</v>
      </c>
      <c r="AA95" s="276">
        <v>0</v>
      </c>
      <c r="AB95" s="276">
        <v>0</v>
      </c>
      <c r="AC95" s="276"/>
      <c r="AD95" s="276">
        <v>0</v>
      </c>
      <c r="AE95" s="276"/>
      <c r="AF95" s="276">
        <v>0</v>
      </c>
      <c r="AG95" s="276">
        <v>0</v>
      </c>
      <c r="AH95" s="283" t="s">
        <v>483</v>
      </c>
      <c r="AJ95" s="281" t="s">
        <v>553</v>
      </c>
      <c r="AK95" s="280" t="s">
        <v>552</v>
      </c>
      <c r="AL95" s="276">
        <v>0</v>
      </c>
      <c r="AM95" s="279">
        <v>0</v>
      </c>
      <c r="AN95" s="276">
        <v>39</v>
      </c>
      <c r="AO95" s="276">
        <v>0</v>
      </c>
      <c r="AP95" s="279">
        <v>0</v>
      </c>
      <c r="AQ95" s="276">
        <v>0</v>
      </c>
      <c r="AR95" s="276">
        <v>0</v>
      </c>
      <c r="AS95" s="271">
        <v>2</v>
      </c>
      <c r="AT95" s="276">
        <v>0</v>
      </c>
      <c r="AU95" s="279">
        <v>0</v>
      </c>
      <c r="AV95" s="276">
        <v>0</v>
      </c>
      <c r="AW95" s="276">
        <v>0</v>
      </c>
      <c r="AX95" s="279">
        <v>0</v>
      </c>
      <c r="AY95" s="276">
        <v>0</v>
      </c>
      <c r="AZ95" s="276">
        <v>0</v>
      </c>
      <c r="BA95" s="278" t="s">
        <v>551</v>
      </c>
      <c r="BB95" s="276">
        <v>0</v>
      </c>
      <c r="BC95" s="279">
        <v>0</v>
      </c>
      <c r="BD95" s="276">
        <v>0</v>
      </c>
      <c r="BE95" s="276">
        <v>0</v>
      </c>
      <c r="BF95" s="279">
        <v>0</v>
      </c>
      <c r="BG95" s="276">
        <v>0</v>
      </c>
      <c r="BH95" s="276">
        <v>0</v>
      </c>
      <c r="BI95" s="278" t="s">
        <v>550</v>
      </c>
      <c r="BJ95" s="276">
        <v>0</v>
      </c>
      <c r="BK95" s="276">
        <v>0</v>
      </c>
      <c r="BL95" s="276">
        <v>0</v>
      </c>
      <c r="BM95" s="276">
        <v>0</v>
      </c>
      <c r="BN95" s="276">
        <v>0</v>
      </c>
      <c r="BO95" s="276">
        <v>0</v>
      </c>
      <c r="BP95" s="276">
        <v>0</v>
      </c>
    </row>
    <row r="96" spans="1:68" x14ac:dyDescent="0.35">
      <c r="A96" s="277" t="s">
        <v>563</v>
      </c>
      <c r="B96" s="277" t="s">
        <v>562</v>
      </c>
      <c r="C96" s="283" t="s">
        <v>914</v>
      </c>
      <c r="D96" s="277" t="s">
        <v>560</v>
      </c>
      <c r="F96" s="277" t="s">
        <v>913</v>
      </c>
      <c r="K96" s="277" t="s">
        <v>883</v>
      </c>
      <c r="L96" s="277" t="s">
        <v>557</v>
      </c>
      <c r="N96" s="277" t="s">
        <v>884</v>
      </c>
      <c r="O96" s="277" t="s">
        <v>883</v>
      </c>
      <c r="P96" s="277" t="s">
        <v>557</v>
      </c>
      <c r="Q96" s="277" t="s">
        <v>556</v>
      </c>
      <c r="R96" s="277" t="s">
        <v>883</v>
      </c>
      <c r="S96" s="276">
        <v>0</v>
      </c>
      <c r="T96" s="276">
        <v>0</v>
      </c>
      <c r="U96" s="276">
        <v>0</v>
      </c>
      <c r="V96" s="276">
        <v>0</v>
      </c>
      <c r="W96" s="276">
        <v>0</v>
      </c>
      <c r="X96" s="276">
        <v>0</v>
      </c>
      <c r="Y96" s="276">
        <v>0</v>
      </c>
      <c r="Z96" s="276">
        <v>0</v>
      </c>
      <c r="AA96" s="276">
        <v>0</v>
      </c>
      <c r="AB96" s="276">
        <v>0</v>
      </c>
      <c r="AC96" s="276"/>
      <c r="AD96" s="276">
        <v>0</v>
      </c>
      <c r="AE96" s="276"/>
      <c r="AF96" s="276">
        <v>0</v>
      </c>
      <c r="AG96" s="276">
        <v>0</v>
      </c>
      <c r="AH96" s="283" t="s">
        <v>86</v>
      </c>
      <c r="AI96" s="282" t="s">
        <v>908</v>
      </c>
      <c r="AJ96" s="281" t="s">
        <v>553</v>
      </c>
      <c r="AK96" s="280" t="s">
        <v>552</v>
      </c>
      <c r="AL96" s="276">
        <v>0.64</v>
      </c>
      <c r="AM96" s="279">
        <v>0</v>
      </c>
      <c r="AN96" s="276">
        <v>0</v>
      </c>
      <c r="AO96" s="276">
        <v>0.64</v>
      </c>
      <c r="AP96" s="279">
        <v>0</v>
      </c>
      <c r="AQ96" s="276">
        <v>0</v>
      </c>
      <c r="AR96" s="276">
        <v>0</v>
      </c>
      <c r="AS96" s="271">
        <v>2</v>
      </c>
      <c r="AT96" s="276">
        <v>0</v>
      </c>
      <c r="AU96" s="279">
        <v>0</v>
      </c>
      <c r="AV96" s="276">
        <v>0</v>
      </c>
      <c r="AW96" s="276">
        <v>0</v>
      </c>
      <c r="AX96" s="279">
        <v>0</v>
      </c>
      <c r="AY96" s="276">
        <v>0</v>
      </c>
      <c r="AZ96" s="276">
        <v>0</v>
      </c>
      <c r="BA96" s="278" t="s">
        <v>551</v>
      </c>
      <c r="BB96" s="276">
        <v>0</v>
      </c>
      <c r="BC96" s="279">
        <v>0</v>
      </c>
      <c r="BD96" s="276">
        <v>0</v>
      </c>
      <c r="BE96" s="276">
        <v>0</v>
      </c>
      <c r="BF96" s="279">
        <v>0</v>
      </c>
      <c r="BG96" s="276">
        <v>0</v>
      </c>
      <c r="BH96" s="276">
        <v>0</v>
      </c>
      <c r="BI96" s="278" t="s">
        <v>550</v>
      </c>
      <c r="BJ96" s="276">
        <v>0</v>
      </c>
      <c r="BK96" s="276">
        <v>0</v>
      </c>
      <c r="BL96" s="276">
        <v>0</v>
      </c>
      <c r="BM96" s="276">
        <v>0</v>
      </c>
      <c r="BN96" s="276">
        <v>0</v>
      </c>
      <c r="BO96" s="276">
        <v>0</v>
      </c>
      <c r="BP96" s="276">
        <v>0</v>
      </c>
    </row>
    <row r="97" spans="1:68" x14ac:dyDescent="0.35">
      <c r="A97" s="277" t="s">
        <v>563</v>
      </c>
      <c r="B97" s="277" t="s">
        <v>562</v>
      </c>
      <c r="C97" s="283" t="s">
        <v>912</v>
      </c>
      <c r="D97" s="277" t="s">
        <v>560</v>
      </c>
      <c r="F97" s="277" t="s">
        <v>911</v>
      </c>
      <c r="K97" s="277" t="s">
        <v>883</v>
      </c>
      <c r="L97" s="277" t="s">
        <v>557</v>
      </c>
      <c r="N97" s="277" t="s">
        <v>884</v>
      </c>
      <c r="O97" s="277" t="s">
        <v>883</v>
      </c>
      <c r="P97" s="277" t="s">
        <v>557</v>
      </c>
      <c r="Q97" s="277" t="s">
        <v>556</v>
      </c>
      <c r="R97" s="277" t="s">
        <v>883</v>
      </c>
      <c r="S97" s="276">
        <v>0</v>
      </c>
      <c r="T97" s="276">
        <v>0</v>
      </c>
      <c r="U97" s="276">
        <v>0</v>
      </c>
      <c r="V97" s="276">
        <v>0</v>
      </c>
      <c r="W97" s="276">
        <v>0</v>
      </c>
      <c r="X97" s="276">
        <v>0</v>
      </c>
      <c r="Y97" s="276">
        <v>0</v>
      </c>
      <c r="Z97" s="276">
        <v>0</v>
      </c>
      <c r="AA97" s="276">
        <v>0</v>
      </c>
      <c r="AB97" s="276">
        <v>0</v>
      </c>
      <c r="AC97" s="276"/>
      <c r="AD97" s="276">
        <v>0</v>
      </c>
      <c r="AE97" s="276"/>
      <c r="AF97" s="276">
        <v>0</v>
      </c>
      <c r="AG97" s="276">
        <v>0</v>
      </c>
      <c r="AH97" s="283" t="s">
        <v>86</v>
      </c>
      <c r="AI97" s="282" t="s">
        <v>906</v>
      </c>
      <c r="AJ97" s="281" t="s">
        <v>553</v>
      </c>
      <c r="AK97" s="280" t="s">
        <v>552</v>
      </c>
      <c r="AL97" s="276">
        <v>2.09</v>
      </c>
      <c r="AM97" s="279">
        <v>0</v>
      </c>
      <c r="AN97" s="276">
        <v>0</v>
      </c>
      <c r="AO97" s="276">
        <v>2.09</v>
      </c>
      <c r="AP97" s="279">
        <v>0</v>
      </c>
      <c r="AQ97" s="276">
        <v>0</v>
      </c>
      <c r="AR97" s="276">
        <v>0</v>
      </c>
      <c r="AS97" s="271">
        <v>2</v>
      </c>
      <c r="AT97" s="276">
        <v>0</v>
      </c>
      <c r="AU97" s="279">
        <v>0</v>
      </c>
      <c r="AV97" s="276">
        <v>0</v>
      </c>
      <c r="AW97" s="276">
        <v>0</v>
      </c>
      <c r="AX97" s="279">
        <v>0</v>
      </c>
      <c r="AY97" s="276">
        <v>0</v>
      </c>
      <c r="AZ97" s="276">
        <v>0</v>
      </c>
      <c r="BA97" s="278" t="s">
        <v>551</v>
      </c>
      <c r="BB97" s="276">
        <v>0</v>
      </c>
      <c r="BC97" s="279">
        <v>0</v>
      </c>
      <c r="BD97" s="276">
        <v>0</v>
      </c>
      <c r="BE97" s="276">
        <v>0</v>
      </c>
      <c r="BF97" s="279">
        <v>0</v>
      </c>
      <c r="BG97" s="276">
        <v>0</v>
      </c>
      <c r="BH97" s="276">
        <v>0</v>
      </c>
      <c r="BI97" s="278" t="s">
        <v>550</v>
      </c>
      <c r="BJ97" s="276">
        <v>0</v>
      </c>
      <c r="BK97" s="276">
        <v>0</v>
      </c>
      <c r="BL97" s="276">
        <v>0</v>
      </c>
      <c r="BM97" s="276">
        <v>0</v>
      </c>
      <c r="BN97" s="276">
        <v>0</v>
      </c>
      <c r="BO97" s="276">
        <v>0</v>
      </c>
      <c r="BP97" s="276">
        <v>0</v>
      </c>
    </row>
    <row r="98" spans="1:68" x14ac:dyDescent="0.35">
      <c r="A98" s="277" t="s">
        <v>563</v>
      </c>
      <c r="B98" s="277" t="s">
        <v>562</v>
      </c>
      <c r="C98" s="283" t="s">
        <v>910</v>
      </c>
      <c r="D98" s="277" t="s">
        <v>560</v>
      </c>
      <c r="F98" s="277" t="s">
        <v>909</v>
      </c>
      <c r="K98" s="277" t="s">
        <v>883</v>
      </c>
      <c r="L98" s="277" t="s">
        <v>557</v>
      </c>
      <c r="N98" s="277" t="s">
        <v>884</v>
      </c>
      <c r="O98" s="277" t="s">
        <v>883</v>
      </c>
      <c r="P98" s="277" t="s">
        <v>557</v>
      </c>
      <c r="Q98" s="277" t="s">
        <v>556</v>
      </c>
      <c r="R98" s="277" t="s">
        <v>883</v>
      </c>
      <c r="S98" s="276">
        <v>0</v>
      </c>
      <c r="T98" s="276">
        <v>0</v>
      </c>
      <c r="U98" s="276">
        <v>0</v>
      </c>
      <c r="V98" s="276">
        <v>0</v>
      </c>
      <c r="W98" s="276">
        <v>0</v>
      </c>
      <c r="X98" s="276">
        <v>0</v>
      </c>
      <c r="Y98" s="276">
        <v>0</v>
      </c>
      <c r="Z98" s="276">
        <v>0</v>
      </c>
      <c r="AA98" s="276">
        <v>0</v>
      </c>
      <c r="AB98" s="276">
        <v>0</v>
      </c>
      <c r="AC98" s="276"/>
      <c r="AD98" s="276">
        <v>0</v>
      </c>
      <c r="AE98" s="276"/>
      <c r="AF98" s="276">
        <v>0</v>
      </c>
      <c r="AG98" s="276">
        <v>0</v>
      </c>
      <c r="AH98" s="283" t="s">
        <v>86</v>
      </c>
      <c r="AI98" s="282" t="s">
        <v>904</v>
      </c>
      <c r="AJ98" s="281" t="s">
        <v>553</v>
      </c>
      <c r="AK98" s="280" t="s">
        <v>552</v>
      </c>
      <c r="AL98" s="276">
        <v>0.95</v>
      </c>
      <c r="AM98" s="279">
        <v>0</v>
      </c>
      <c r="AN98" s="276">
        <v>0</v>
      </c>
      <c r="AO98" s="276">
        <v>0.95</v>
      </c>
      <c r="AP98" s="279">
        <v>0</v>
      </c>
      <c r="AQ98" s="276">
        <v>0</v>
      </c>
      <c r="AR98" s="276">
        <v>0</v>
      </c>
      <c r="AS98" s="271">
        <v>2</v>
      </c>
      <c r="AT98" s="276">
        <v>0</v>
      </c>
      <c r="AU98" s="279">
        <v>0</v>
      </c>
      <c r="AV98" s="276">
        <v>0</v>
      </c>
      <c r="AW98" s="276">
        <v>0</v>
      </c>
      <c r="AX98" s="279">
        <v>0</v>
      </c>
      <c r="AY98" s="276">
        <v>0</v>
      </c>
      <c r="AZ98" s="276">
        <v>0</v>
      </c>
      <c r="BA98" s="278" t="s">
        <v>551</v>
      </c>
      <c r="BB98" s="276">
        <v>0</v>
      </c>
      <c r="BC98" s="279">
        <v>0</v>
      </c>
      <c r="BD98" s="276">
        <v>0</v>
      </c>
      <c r="BE98" s="276">
        <v>0</v>
      </c>
      <c r="BF98" s="279">
        <v>0</v>
      </c>
      <c r="BG98" s="276">
        <v>0</v>
      </c>
      <c r="BH98" s="276">
        <v>0</v>
      </c>
      <c r="BI98" s="278" t="s">
        <v>550</v>
      </c>
      <c r="BJ98" s="276">
        <v>0</v>
      </c>
      <c r="BK98" s="276">
        <v>0</v>
      </c>
      <c r="BL98" s="276">
        <v>0</v>
      </c>
      <c r="BM98" s="276">
        <v>0</v>
      </c>
      <c r="BN98" s="276">
        <v>0</v>
      </c>
      <c r="BO98" s="276">
        <v>0</v>
      </c>
      <c r="BP98" s="276">
        <v>0</v>
      </c>
    </row>
    <row r="99" spans="1:68" x14ac:dyDescent="0.35">
      <c r="A99" s="277" t="s">
        <v>563</v>
      </c>
      <c r="B99" s="277" t="s">
        <v>562</v>
      </c>
      <c r="C99" s="283" t="s">
        <v>908</v>
      </c>
      <c r="D99" s="277" t="s">
        <v>560</v>
      </c>
      <c r="F99" s="277" t="s">
        <v>907</v>
      </c>
      <c r="K99" s="277" t="s">
        <v>883</v>
      </c>
      <c r="L99" s="277" t="s">
        <v>557</v>
      </c>
      <c r="N99" s="277" t="s">
        <v>884</v>
      </c>
      <c r="O99" s="277" t="s">
        <v>883</v>
      </c>
      <c r="P99" s="277" t="s">
        <v>557</v>
      </c>
      <c r="Q99" s="277" t="s">
        <v>556</v>
      </c>
      <c r="R99" s="277" t="s">
        <v>883</v>
      </c>
      <c r="S99" s="276">
        <v>0</v>
      </c>
      <c r="T99" s="276">
        <v>0</v>
      </c>
      <c r="U99" s="276">
        <v>0</v>
      </c>
      <c r="V99" s="276">
        <v>0</v>
      </c>
      <c r="W99" s="276">
        <v>0</v>
      </c>
      <c r="X99" s="276">
        <v>0</v>
      </c>
      <c r="Y99" s="276">
        <v>0</v>
      </c>
      <c r="Z99" s="276">
        <v>0</v>
      </c>
      <c r="AA99" s="276">
        <v>0</v>
      </c>
      <c r="AB99" s="276">
        <v>0</v>
      </c>
      <c r="AC99" s="276"/>
      <c r="AD99" s="276">
        <v>0</v>
      </c>
      <c r="AE99" s="276"/>
      <c r="AF99" s="276">
        <v>0</v>
      </c>
      <c r="AG99" s="276">
        <v>0</v>
      </c>
      <c r="AH99" s="283" t="s">
        <v>483</v>
      </c>
      <c r="AJ99" s="281" t="s">
        <v>553</v>
      </c>
      <c r="AK99" s="280" t="s">
        <v>552</v>
      </c>
      <c r="AL99" s="276">
        <v>0.52</v>
      </c>
      <c r="AM99" s="279">
        <v>0</v>
      </c>
      <c r="AN99" s="276">
        <v>0</v>
      </c>
      <c r="AO99" s="276">
        <v>0.52</v>
      </c>
      <c r="AP99" s="279">
        <v>0</v>
      </c>
      <c r="AQ99" s="276">
        <v>0</v>
      </c>
      <c r="AR99" s="276">
        <v>0</v>
      </c>
      <c r="AS99" s="271">
        <v>2</v>
      </c>
      <c r="AT99" s="276">
        <v>0</v>
      </c>
      <c r="AU99" s="279">
        <v>0</v>
      </c>
      <c r="AV99" s="276">
        <v>0</v>
      </c>
      <c r="AW99" s="276">
        <v>0</v>
      </c>
      <c r="AX99" s="279">
        <v>0</v>
      </c>
      <c r="AY99" s="276">
        <v>0</v>
      </c>
      <c r="AZ99" s="276">
        <v>0</v>
      </c>
      <c r="BA99" s="278" t="s">
        <v>551</v>
      </c>
      <c r="BB99" s="276">
        <v>0</v>
      </c>
      <c r="BC99" s="279">
        <v>0</v>
      </c>
      <c r="BD99" s="276">
        <v>0</v>
      </c>
      <c r="BE99" s="276">
        <v>0</v>
      </c>
      <c r="BF99" s="279">
        <v>0</v>
      </c>
      <c r="BG99" s="276">
        <v>0</v>
      </c>
      <c r="BH99" s="276">
        <v>0</v>
      </c>
      <c r="BI99" s="278" t="s">
        <v>550</v>
      </c>
      <c r="BJ99" s="276">
        <v>0</v>
      </c>
      <c r="BK99" s="276">
        <v>0</v>
      </c>
      <c r="BL99" s="276">
        <v>0</v>
      </c>
      <c r="BM99" s="276">
        <v>0</v>
      </c>
      <c r="BN99" s="276">
        <v>0</v>
      </c>
      <c r="BO99" s="276">
        <v>0</v>
      </c>
      <c r="BP99" s="276">
        <v>0</v>
      </c>
    </row>
    <row r="100" spans="1:68" x14ac:dyDescent="0.35">
      <c r="A100" s="277" t="s">
        <v>563</v>
      </c>
      <c r="B100" s="277" t="s">
        <v>562</v>
      </c>
      <c r="C100" s="283" t="s">
        <v>906</v>
      </c>
      <c r="D100" s="277" t="s">
        <v>560</v>
      </c>
      <c r="F100" s="277" t="s">
        <v>905</v>
      </c>
      <c r="K100" s="277" t="s">
        <v>883</v>
      </c>
      <c r="L100" s="277" t="s">
        <v>557</v>
      </c>
      <c r="N100" s="277" t="s">
        <v>884</v>
      </c>
      <c r="O100" s="277" t="s">
        <v>883</v>
      </c>
      <c r="P100" s="277" t="s">
        <v>557</v>
      </c>
      <c r="Q100" s="277" t="s">
        <v>556</v>
      </c>
      <c r="R100" s="277" t="s">
        <v>883</v>
      </c>
      <c r="S100" s="276">
        <v>0</v>
      </c>
      <c r="T100" s="276">
        <v>0</v>
      </c>
      <c r="U100" s="276">
        <v>0</v>
      </c>
      <c r="V100" s="276">
        <v>0</v>
      </c>
      <c r="W100" s="276">
        <v>0</v>
      </c>
      <c r="X100" s="276">
        <v>0</v>
      </c>
      <c r="Y100" s="276">
        <v>0</v>
      </c>
      <c r="Z100" s="276">
        <v>0</v>
      </c>
      <c r="AA100" s="276">
        <v>0</v>
      </c>
      <c r="AB100" s="276">
        <v>0</v>
      </c>
      <c r="AC100" s="276"/>
      <c r="AD100" s="276">
        <v>0</v>
      </c>
      <c r="AE100" s="276"/>
      <c r="AF100" s="276">
        <v>0</v>
      </c>
      <c r="AG100" s="276">
        <v>0</v>
      </c>
      <c r="AH100" s="283" t="s">
        <v>483</v>
      </c>
      <c r="AJ100" s="281" t="s">
        <v>553</v>
      </c>
      <c r="AK100" s="280" t="s">
        <v>552</v>
      </c>
      <c r="AL100" s="276">
        <v>0.85</v>
      </c>
      <c r="AM100" s="279">
        <v>0</v>
      </c>
      <c r="AN100" s="276">
        <v>0</v>
      </c>
      <c r="AO100" s="276">
        <v>0.85</v>
      </c>
      <c r="AP100" s="279">
        <v>0</v>
      </c>
      <c r="AQ100" s="276">
        <v>0</v>
      </c>
      <c r="AR100" s="276">
        <v>0</v>
      </c>
      <c r="AS100" s="271">
        <v>2</v>
      </c>
      <c r="AT100" s="276">
        <v>0</v>
      </c>
      <c r="AU100" s="279">
        <v>0</v>
      </c>
      <c r="AV100" s="276">
        <v>0</v>
      </c>
      <c r="AW100" s="276">
        <v>0</v>
      </c>
      <c r="AX100" s="279">
        <v>0</v>
      </c>
      <c r="AY100" s="276">
        <v>0</v>
      </c>
      <c r="AZ100" s="276">
        <v>0</v>
      </c>
      <c r="BA100" s="278" t="s">
        <v>551</v>
      </c>
      <c r="BB100" s="276">
        <v>0</v>
      </c>
      <c r="BC100" s="279">
        <v>0</v>
      </c>
      <c r="BD100" s="276">
        <v>0</v>
      </c>
      <c r="BE100" s="276">
        <v>0</v>
      </c>
      <c r="BF100" s="279">
        <v>0</v>
      </c>
      <c r="BG100" s="276">
        <v>0</v>
      </c>
      <c r="BH100" s="276">
        <v>0</v>
      </c>
      <c r="BI100" s="278" t="s">
        <v>550</v>
      </c>
      <c r="BJ100" s="276">
        <v>0</v>
      </c>
      <c r="BK100" s="276">
        <v>0</v>
      </c>
      <c r="BL100" s="276">
        <v>0</v>
      </c>
      <c r="BM100" s="276">
        <v>0</v>
      </c>
      <c r="BN100" s="276">
        <v>0</v>
      </c>
      <c r="BO100" s="276">
        <v>0</v>
      </c>
      <c r="BP100" s="276">
        <v>0</v>
      </c>
    </row>
    <row r="101" spans="1:68" x14ac:dyDescent="0.35">
      <c r="A101" s="277" t="s">
        <v>563</v>
      </c>
      <c r="B101" s="277" t="s">
        <v>562</v>
      </c>
      <c r="C101" s="283" t="s">
        <v>904</v>
      </c>
      <c r="D101" s="277" t="s">
        <v>560</v>
      </c>
      <c r="F101" s="277" t="s">
        <v>903</v>
      </c>
      <c r="K101" s="277" t="s">
        <v>883</v>
      </c>
      <c r="L101" s="277" t="s">
        <v>557</v>
      </c>
      <c r="N101" s="277" t="s">
        <v>884</v>
      </c>
      <c r="O101" s="277" t="s">
        <v>883</v>
      </c>
      <c r="P101" s="277" t="s">
        <v>557</v>
      </c>
      <c r="Q101" s="277" t="s">
        <v>556</v>
      </c>
      <c r="R101" s="277" t="s">
        <v>883</v>
      </c>
      <c r="S101" s="276">
        <v>0</v>
      </c>
      <c r="T101" s="276">
        <v>0</v>
      </c>
      <c r="U101" s="276">
        <v>0</v>
      </c>
      <c r="V101" s="276">
        <v>0</v>
      </c>
      <c r="W101" s="276">
        <v>0</v>
      </c>
      <c r="X101" s="276">
        <v>0</v>
      </c>
      <c r="Y101" s="276">
        <v>0</v>
      </c>
      <c r="Z101" s="276">
        <v>0</v>
      </c>
      <c r="AA101" s="276">
        <v>0</v>
      </c>
      <c r="AB101" s="276">
        <v>0</v>
      </c>
      <c r="AC101" s="276"/>
      <c r="AD101" s="276">
        <v>0</v>
      </c>
      <c r="AE101" s="276"/>
      <c r="AF101" s="276">
        <v>0</v>
      </c>
      <c r="AG101" s="276">
        <v>0</v>
      </c>
      <c r="AH101" s="283" t="s">
        <v>483</v>
      </c>
      <c r="AJ101" s="281" t="s">
        <v>553</v>
      </c>
      <c r="AK101" s="280" t="s">
        <v>552</v>
      </c>
      <c r="AL101" s="276">
        <v>0.7</v>
      </c>
      <c r="AM101" s="279">
        <v>0</v>
      </c>
      <c r="AN101" s="276">
        <v>0</v>
      </c>
      <c r="AO101" s="276">
        <v>0.7</v>
      </c>
      <c r="AP101" s="279">
        <v>0</v>
      </c>
      <c r="AQ101" s="276">
        <v>0</v>
      </c>
      <c r="AR101" s="276">
        <v>0</v>
      </c>
      <c r="AS101" s="271">
        <v>2</v>
      </c>
      <c r="AT101" s="276">
        <v>0</v>
      </c>
      <c r="AU101" s="279">
        <v>0</v>
      </c>
      <c r="AV101" s="276">
        <v>0</v>
      </c>
      <c r="AW101" s="276">
        <v>0</v>
      </c>
      <c r="AX101" s="279">
        <v>0</v>
      </c>
      <c r="AY101" s="276">
        <v>0</v>
      </c>
      <c r="AZ101" s="276">
        <v>0</v>
      </c>
      <c r="BA101" s="278" t="s">
        <v>551</v>
      </c>
      <c r="BB101" s="276">
        <v>0</v>
      </c>
      <c r="BC101" s="279">
        <v>0</v>
      </c>
      <c r="BD101" s="276">
        <v>0</v>
      </c>
      <c r="BE101" s="276">
        <v>0</v>
      </c>
      <c r="BF101" s="279">
        <v>0</v>
      </c>
      <c r="BG101" s="276">
        <v>0</v>
      </c>
      <c r="BH101" s="276">
        <v>0</v>
      </c>
      <c r="BI101" s="278" t="s">
        <v>550</v>
      </c>
      <c r="BJ101" s="276">
        <v>0</v>
      </c>
      <c r="BK101" s="276">
        <v>0</v>
      </c>
      <c r="BL101" s="276">
        <v>0</v>
      </c>
      <c r="BM101" s="276">
        <v>0</v>
      </c>
      <c r="BN101" s="276">
        <v>0</v>
      </c>
      <c r="BO101" s="276">
        <v>0</v>
      </c>
      <c r="BP101" s="276">
        <v>0</v>
      </c>
    </row>
    <row r="102" spans="1:68" x14ac:dyDescent="0.35">
      <c r="A102" s="277" t="s">
        <v>563</v>
      </c>
      <c r="B102" s="277" t="s">
        <v>562</v>
      </c>
      <c r="C102" s="283" t="s">
        <v>902</v>
      </c>
      <c r="D102" s="277" t="s">
        <v>560</v>
      </c>
      <c r="F102" s="277" t="s">
        <v>901</v>
      </c>
      <c r="K102" s="277" t="s">
        <v>883</v>
      </c>
      <c r="L102" s="277" t="s">
        <v>557</v>
      </c>
      <c r="N102" s="277" t="s">
        <v>884</v>
      </c>
      <c r="O102" s="277" t="s">
        <v>883</v>
      </c>
      <c r="P102" s="277" t="s">
        <v>557</v>
      </c>
      <c r="Q102" s="277" t="s">
        <v>556</v>
      </c>
      <c r="R102" s="277" t="s">
        <v>883</v>
      </c>
      <c r="S102" s="276">
        <v>0</v>
      </c>
      <c r="T102" s="276">
        <v>0</v>
      </c>
      <c r="U102" s="276">
        <v>0</v>
      </c>
      <c r="V102" s="276">
        <v>0</v>
      </c>
      <c r="W102" s="276">
        <v>0</v>
      </c>
      <c r="X102" s="276">
        <v>0</v>
      </c>
      <c r="Y102" s="276">
        <v>0</v>
      </c>
      <c r="Z102" s="276">
        <v>0</v>
      </c>
      <c r="AA102" s="276">
        <v>0</v>
      </c>
      <c r="AB102" s="276">
        <v>0</v>
      </c>
      <c r="AC102" s="276"/>
      <c r="AD102" s="276">
        <v>0</v>
      </c>
      <c r="AE102" s="276"/>
      <c r="AF102" s="276">
        <v>0</v>
      </c>
      <c r="AG102" s="276">
        <v>0</v>
      </c>
      <c r="AH102" s="283" t="s">
        <v>483</v>
      </c>
      <c r="AJ102" s="281" t="s">
        <v>553</v>
      </c>
      <c r="AK102" s="280" t="s">
        <v>552</v>
      </c>
      <c r="AL102" s="276">
        <v>0</v>
      </c>
      <c r="AM102" s="279">
        <v>0</v>
      </c>
      <c r="AN102" s="276">
        <v>103</v>
      </c>
      <c r="AO102" s="276">
        <v>0</v>
      </c>
      <c r="AP102" s="279">
        <v>0</v>
      </c>
      <c r="AQ102" s="276">
        <v>0</v>
      </c>
      <c r="AR102" s="276">
        <v>0</v>
      </c>
      <c r="AS102" s="271">
        <v>2</v>
      </c>
      <c r="AT102" s="276">
        <v>0</v>
      </c>
      <c r="AU102" s="279">
        <v>0</v>
      </c>
      <c r="AV102" s="276">
        <v>0</v>
      </c>
      <c r="AW102" s="276">
        <v>0</v>
      </c>
      <c r="AX102" s="279">
        <v>0</v>
      </c>
      <c r="AY102" s="276">
        <v>0</v>
      </c>
      <c r="AZ102" s="276">
        <v>0</v>
      </c>
      <c r="BA102" s="278" t="s">
        <v>551</v>
      </c>
      <c r="BB102" s="276">
        <v>0</v>
      </c>
      <c r="BC102" s="279">
        <v>0</v>
      </c>
      <c r="BD102" s="276">
        <v>0</v>
      </c>
      <c r="BE102" s="276">
        <v>0</v>
      </c>
      <c r="BF102" s="279">
        <v>0</v>
      </c>
      <c r="BG102" s="276">
        <v>0</v>
      </c>
      <c r="BH102" s="276">
        <v>0</v>
      </c>
      <c r="BI102" s="278" t="s">
        <v>550</v>
      </c>
      <c r="BJ102" s="276">
        <v>0</v>
      </c>
      <c r="BK102" s="276">
        <v>0</v>
      </c>
      <c r="BL102" s="276">
        <v>0</v>
      </c>
      <c r="BM102" s="276">
        <v>0</v>
      </c>
      <c r="BN102" s="276">
        <v>0</v>
      </c>
      <c r="BO102" s="276">
        <v>0</v>
      </c>
      <c r="BP102" s="276">
        <v>0</v>
      </c>
    </row>
    <row r="103" spans="1:68" x14ac:dyDescent="0.35">
      <c r="A103" s="277" t="s">
        <v>563</v>
      </c>
      <c r="B103" s="277" t="s">
        <v>562</v>
      </c>
      <c r="C103" s="283" t="s">
        <v>900</v>
      </c>
      <c r="D103" s="277" t="s">
        <v>560</v>
      </c>
      <c r="F103" s="277" t="s">
        <v>899</v>
      </c>
      <c r="K103" s="277" t="s">
        <v>883</v>
      </c>
      <c r="L103" s="277" t="s">
        <v>557</v>
      </c>
      <c r="N103" s="277" t="s">
        <v>884</v>
      </c>
      <c r="O103" s="277" t="s">
        <v>883</v>
      </c>
      <c r="P103" s="277" t="s">
        <v>557</v>
      </c>
      <c r="Q103" s="277" t="s">
        <v>556</v>
      </c>
      <c r="R103" s="277" t="s">
        <v>883</v>
      </c>
      <c r="S103" s="276">
        <v>0</v>
      </c>
      <c r="T103" s="276">
        <v>0</v>
      </c>
      <c r="U103" s="276">
        <v>0</v>
      </c>
      <c r="V103" s="276">
        <v>0</v>
      </c>
      <c r="W103" s="276">
        <v>0</v>
      </c>
      <c r="X103" s="276">
        <v>0</v>
      </c>
      <c r="Y103" s="276">
        <v>0</v>
      </c>
      <c r="Z103" s="276">
        <v>0</v>
      </c>
      <c r="AA103" s="276">
        <v>0</v>
      </c>
      <c r="AB103" s="276">
        <v>0</v>
      </c>
      <c r="AC103" s="276"/>
      <c r="AD103" s="276">
        <v>0</v>
      </c>
      <c r="AE103" s="276"/>
      <c r="AF103" s="276">
        <v>0</v>
      </c>
      <c r="AG103" s="276">
        <v>0</v>
      </c>
      <c r="AH103" s="283" t="s">
        <v>483</v>
      </c>
      <c r="AJ103" s="281" t="s">
        <v>553</v>
      </c>
      <c r="AK103" s="280" t="s">
        <v>552</v>
      </c>
      <c r="AL103" s="276">
        <v>0</v>
      </c>
      <c r="AM103" s="279">
        <v>0</v>
      </c>
      <c r="AN103" s="276">
        <v>0</v>
      </c>
      <c r="AO103" s="276">
        <v>0</v>
      </c>
      <c r="AP103" s="279">
        <v>0</v>
      </c>
      <c r="AQ103" s="276">
        <v>0</v>
      </c>
      <c r="AR103" s="276">
        <v>0</v>
      </c>
      <c r="AS103" s="271">
        <v>2</v>
      </c>
      <c r="AT103" s="276">
        <v>0</v>
      </c>
      <c r="AU103" s="279">
        <v>0</v>
      </c>
      <c r="AV103" s="276">
        <v>0</v>
      </c>
      <c r="AW103" s="276">
        <v>0</v>
      </c>
      <c r="AX103" s="279">
        <v>0</v>
      </c>
      <c r="AY103" s="276">
        <v>0</v>
      </c>
      <c r="AZ103" s="276">
        <v>0</v>
      </c>
      <c r="BA103" s="278" t="s">
        <v>551</v>
      </c>
      <c r="BB103" s="276">
        <v>0</v>
      </c>
      <c r="BC103" s="279">
        <v>0</v>
      </c>
      <c r="BD103" s="276">
        <v>0</v>
      </c>
      <c r="BE103" s="276">
        <v>0</v>
      </c>
      <c r="BF103" s="279">
        <v>0</v>
      </c>
      <c r="BG103" s="276">
        <v>0</v>
      </c>
      <c r="BH103" s="276">
        <v>0</v>
      </c>
      <c r="BI103" s="278" t="s">
        <v>550</v>
      </c>
      <c r="BJ103" s="276">
        <v>0</v>
      </c>
      <c r="BK103" s="276">
        <v>0</v>
      </c>
      <c r="BL103" s="276">
        <v>0</v>
      </c>
      <c r="BM103" s="276">
        <v>0</v>
      </c>
      <c r="BN103" s="276">
        <v>0</v>
      </c>
      <c r="BO103" s="276">
        <v>0</v>
      </c>
      <c r="BP103" s="276">
        <v>0</v>
      </c>
    </row>
    <row r="104" spans="1:68" x14ac:dyDescent="0.35">
      <c r="A104" s="277" t="s">
        <v>563</v>
      </c>
      <c r="B104" s="277" t="s">
        <v>562</v>
      </c>
      <c r="C104" s="283" t="s">
        <v>898</v>
      </c>
      <c r="D104" s="277" t="s">
        <v>560</v>
      </c>
      <c r="F104" s="277" t="s">
        <v>897</v>
      </c>
      <c r="K104" s="277" t="s">
        <v>883</v>
      </c>
      <c r="L104" s="277" t="s">
        <v>557</v>
      </c>
      <c r="N104" s="277" t="s">
        <v>884</v>
      </c>
      <c r="O104" s="277" t="s">
        <v>883</v>
      </c>
      <c r="P104" s="277" t="s">
        <v>557</v>
      </c>
      <c r="Q104" s="277" t="s">
        <v>556</v>
      </c>
      <c r="R104" s="277" t="s">
        <v>883</v>
      </c>
      <c r="S104" s="276">
        <v>0</v>
      </c>
      <c r="T104" s="276">
        <v>0</v>
      </c>
      <c r="U104" s="276">
        <v>0</v>
      </c>
      <c r="V104" s="276">
        <v>0</v>
      </c>
      <c r="W104" s="276">
        <v>0</v>
      </c>
      <c r="X104" s="276">
        <v>0</v>
      </c>
      <c r="Y104" s="276">
        <v>0</v>
      </c>
      <c r="Z104" s="276">
        <v>0</v>
      </c>
      <c r="AA104" s="276">
        <v>0</v>
      </c>
      <c r="AB104" s="276">
        <v>0</v>
      </c>
      <c r="AC104" s="276"/>
      <c r="AD104" s="276">
        <v>0</v>
      </c>
      <c r="AE104" s="276"/>
      <c r="AF104" s="276">
        <v>0</v>
      </c>
      <c r="AG104" s="276">
        <v>0</v>
      </c>
      <c r="AH104" s="283" t="s">
        <v>86</v>
      </c>
      <c r="AI104" s="282" t="s">
        <v>894</v>
      </c>
      <c r="AJ104" s="281" t="s">
        <v>553</v>
      </c>
      <c r="AK104" s="280" t="s">
        <v>552</v>
      </c>
      <c r="AL104" s="276">
        <v>1.65</v>
      </c>
      <c r="AM104" s="279">
        <v>0</v>
      </c>
      <c r="AN104" s="276">
        <v>0</v>
      </c>
      <c r="AO104" s="276">
        <v>1.65</v>
      </c>
      <c r="AP104" s="279">
        <v>0</v>
      </c>
      <c r="AQ104" s="276">
        <v>0</v>
      </c>
      <c r="AR104" s="276">
        <v>0</v>
      </c>
      <c r="AS104" s="271">
        <v>2</v>
      </c>
      <c r="AT104" s="276">
        <v>0</v>
      </c>
      <c r="AU104" s="279">
        <v>0</v>
      </c>
      <c r="AV104" s="276">
        <v>0</v>
      </c>
      <c r="AW104" s="276">
        <v>0</v>
      </c>
      <c r="AX104" s="279">
        <v>0</v>
      </c>
      <c r="AY104" s="276">
        <v>0</v>
      </c>
      <c r="AZ104" s="276">
        <v>0</v>
      </c>
      <c r="BA104" s="278" t="s">
        <v>551</v>
      </c>
      <c r="BB104" s="276">
        <v>0</v>
      </c>
      <c r="BC104" s="279">
        <v>0</v>
      </c>
      <c r="BD104" s="276">
        <v>0</v>
      </c>
      <c r="BE104" s="276">
        <v>0</v>
      </c>
      <c r="BF104" s="279">
        <v>0</v>
      </c>
      <c r="BG104" s="276">
        <v>0</v>
      </c>
      <c r="BH104" s="276">
        <v>0</v>
      </c>
      <c r="BI104" s="278" t="s">
        <v>550</v>
      </c>
      <c r="BJ104" s="276">
        <v>0</v>
      </c>
      <c r="BK104" s="276">
        <v>0</v>
      </c>
      <c r="BL104" s="276">
        <v>0</v>
      </c>
      <c r="BM104" s="276">
        <v>0</v>
      </c>
      <c r="BN104" s="276">
        <v>0</v>
      </c>
      <c r="BO104" s="276">
        <v>0</v>
      </c>
      <c r="BP104" s="276">
        <v>0</v>
      </c>
    </row>
    <row r="105" spans="1:68" x14ac:dyDescent="0.35">
      <c r="A105" s="277" t="s">
        <v>563</v>
      </c>
      <c r="B105" s="277" t="s">
        <v>562</v>
      </c>
      <c r="C105" s="283" t="s">
        <v>896</v>
      </c>
      <c r="D105" s="277" t="s">
        <v>560</v>
      </c>
      <c r="F105" s="277" t="s">
        <v>895</v>
      </c>
      <c r="K105" s="277" t="s">
        <v>883</v>
      </c>
      <c r="L105" s="277" t="s">
        <v>557</v>
      </c>
      <c r="N105" s="277" t="s">
        <v>884</v>
      </c>
      <c r="O105" s="277" t="s">
        <v>883</v>
      </c>
      <c r="P105" s="277" t="s">
        <v>557</v>
      </c>
      <c r="Q105" s="277" t="s">
        <v>556</v>
      </c>
      <c r="R105" s="277" t="s">
        <v>883</v>
      </c>
      <c r="S105" s="276">
        <v>0</v>
      </c>
      <c r="T105" s="276">
        <v>0</v>
      </c>
      <c r="U105" s="276">
        <v>0</v>
      </c>
      <c r="V105" s="276">
        <v>0</v>
      </c>
      <c r="W105" s="276">
        <v>0</v>
      </c>
      <c r="X105" s="276">
        <v>0</v>
      </c>
      <c r="Y105" s="276">
        <v>0</v>
      </c>
      <c r="Z105" s="276">
        <v>0</v>
      </c>
      <c r="AA105" s="276">
        <v>0</v>
      </c>
      <c r="AB105" s="276">
        <v>0</v>
      </c>
      <c r="AC105" s="276"/>
      <c r="AD105" s="276">
        <v>0</v>
      </c>
      <c r="AE105" s="276"/>
      <c r="AF105" s="276">
        <v>0</v>
      </c>
      <c r="AG105" s="276">
        <v>0</v>
      </c>
      <c r="AH105" s="283" t="s">
        <v>86</v>
      </c>
      <c r="AI105" s="282" t="s">
        <v>891</v>
      </c>
      <c r="AJ105" s="281" t="s">
        <v>553</v>
      </c>
      <c r="AK105" s="280" t="s">
        <v>552</v>
      </c>
      <c r="AL105" s="276">
        <v>1.72</v>
      </c>
      <c r="AM105" s="279">
        <v>0</v>
      </c>
      <c r="AN105" s="276">
        <v>0</v>
      </c>
      <c r="AO105" s="276">
        <v>1.72</v>
      </c>
      <c r="AP105" s="279">
        <v>0</v>
      </c>
      <c r="AQ105" s="276">
        <v>0</v>
      </c>
      <c r="AR105" s="276">
        <v>0</v>
      </c>
      <c r="AS105" s="271">
        <v>2</v>
      </c>
      <c r="AT105" s="276">
        <v>0</v>
      </c>
      <c r="AU105" s="279">
        <v>0</v>
      </c>
      <c r="AV105" s="276">
        <v>0</v>
      </c>
      <c r="AW105" s="276">
        <v>0</v>
      </c>
      <c r="AX105" s="279">
        <v>0</v>
      </c>
      <c r="AY105" s="276">
        <v>0</v>
      </c>
      <c r="AZ105" s="276">
        <v>0</v>
      </c>
      <c r="BA105" s="278" t="s">
        <v>551</v>
      </c>
      <c r="BB105" s="276">
        <v>0</v>
      </c>
      <c r="BC105" s="279">
        <v>0</v>
      </c>
      <c r="BD105" s="276">
        <v>0</v>
      </c>
      <c r="BE105" s="276">
        <v>0</v>
      </c>
      <c r="BF105" s="279">
        <v>0</v>
      </c>
      <c r="BG105" s="276">
        <v>0</v>
      </c>
      <c r="BH105" s="276">
        <v>0</v>
      </c>
      <c r="BI105" s="278" t="s">
        <v>550</v>
      </c>
      <c r="BJ105" s="276">
        <v>0</v>
      </c>
      <c r="BK105" s="276">
        <v>0</v>
      </c>
      <c r="BL105" s="276">
        <v>0</v>
      </c>
      <c r="BM105" s="276">
        <v>0</v>
      </c>
      <c r="BN105" s="276">
        <v>0</v>
      </c>
      <c r="BO105" s="276">
        <v>0</v>
      </c>
      <c r="BP105" s="276">
        <v>0</v>
      </c>
    </row>
    <row r="106" spans="1:68" x14ac:dyDescent="0.35">
      <c r="A106" s="277" t="s">
        <v>563</v>
      </c>
      <c r="B106" s="277" t="s">
        <v>562</v>
      </c>
      <c r="C106" s="283" t="s">
        <v>894</v>
      </c>
      <c r="D106" s="277" t="s">
        <v>560</v>
      </c>
      <c r="F106" s="277" t="s">
        <v>893</v>
      </c>
      <c r="K106" s="277" t="s">
        <v>883</v>
      </c>
      <c r="L106" s="277" t="s">
        <v>557</v>
      </c>
      <c r="N106" s="277" t="s">
        <v>884</v>
      </c>
      <c r="O106" s="277" t="s">
        <v>883</v>
      </c>
      <c r="P106" s="277" t="s">
        <v>557</v>
      </c>
      <c r="Q106" s="277" t="s">
        <v>556</v>
      </c>
      <c r="R106" s="277" t="s">
        <v>883</v>
      </c>
      <c r="S106" s="276">
        <v>0</v>
      </c>
      <c r="T106" s="276">
        <v>0</v>
      </c>
      <c r="U106" s="276">
        <v>0</v>
      </c>
      <c r="V106" s="276">
        <v>0</v>
      </c>
      <c r="W106" s="276">
        <v>0</v>
      </c>
      <c r="X106" s="276">
        <v>0</v>
      </c>
      <c r="Y106" s="276">
        <v>0</v>
      </c>
      <c r="Z106" s="276">
        <v>0</v>
      </c>
      <c r="AA106" s="276">
        <v>0</v>
      </c>
      <c r="AB106" s="276">
        <v>0</v>
      </c>
      <c r="AC106" s="276"/>
      <c r="AD106" s="276">
        <v>0</v>
      </c>
      <c r="AE106" s="276"/>
      <c r="AF106" s="276">
        <v>0</v>
      </c>
      <c r="AG106" s="276">
        <v>0</v>
      </c>
      <c r="AH106" s="283" t="s">
        <v>483</v>
      </c>
      <c r="AJ106" s="281" t="s">
        <v>553</v>
      </c>
      <c r="AK106" s="280" t="s">
        <v>552</v>
      </c>
      <c r="AL106" s="276">
        <v>1.3</v>
      </c>
      <c r="AM106" s="279">
        <v>0</v>
      </c>
      <c r="AN106" s="276">
        <v>0</v>
      </c>
      <c r="AO106" s="276">
        <v>1.3</v>
      </c>
      <c r="AP106" s="279">
        <v>0</v>
      </c>
      <c r="AQ106" s="276">
        <v>0</v>
      </c>
      <c r="AR106" s="276">
        <v>0</v>
      </c>
      <c r="AS106" s="271">
        <v>2</v>
      </c>
      <c r="AT106" s="276">
        <v>0</v>
      </c>
      <c r="AU106" s="279">
        <v>0</v>
      </c>
      <c r="AV106" s="276">
        <v>0</v>
      </c>
      <c r="AW106" s="276">
        <v>0</v>
      </c>
      <c r="AX106" s="279">
        <v>0</v>
      </c>
      <c r="AY106" s="276">
        <v>0</v>
      </c>
      <c r="AZ106" s="276">
        <v>0</v>
      </c>
      <c r="BA106" s="278" t="s">
        <v>551</v>
      </c>
      <c r="BB106" s="276">
        <v>0</v>
      </c>
      <c r="BC106" s="279">
        <v>0</v>
      </c>
      <c r="BD106" s="276">
        <v>0</v>
      </c>
      <c r="BE106" s="276">
        <v>0</v>
      </c>
      <c r="BF106" s="279">
        <v>0</v>
      </c>
      <c r="BG106" s="276">
        <v>0</v>
      </c>
      <c r="BH106" s="276">
        <v>0</v>
      </c>
      <c r="BI106" s="278" t="s">
        <v>550</v>
      </c>
      <c r="BJ106" s="276">
        <v>0</v>
      </c>
      <c r="BK106" s="276">
        <v>0</v>
      </c>
      <c r="BL106" s="276">
        <v>0</v>
      </c>
      <c r="BM106" s="276">
        <v>0</v>
      </c>
      <c r="BN106" s="276">
        <v>0</v>
      </c>
      <c r="BO106" s="276">
        <v>0</v>
      </c>
      <c r="BP106" s="276">
        <v>0</v>
      </c>
    </row>
    <row r="107" spans="1:68" x14ac:dyDescent="0.35">
      <c r="A107" s="277" t="s">
        <v>563</v>
      </c>
      <c r="B107" s="277" t="s">
        <v>562</v>
      </c>
      <c r="C107" s="283" t="s">
        <v>887</v>
      </c>
      <c r="D107" s="277" t="s">
        <v>560</v>
      </c>
      <c r="F107" s="277" t="s">
        <v>892</v>
      </c>
      <c r="K107" s="277" t="s">
        <v>883</v>
      </c>
      <c r="L107" s="277" t="s">
        <v>557</v>
      </c>
      <c r="N107" s="277" t="s">
        <v>884</v>
      </c>
      <c r="O107" s="277" t="s">
        <v>883</v>
      </c>
      <c r="P107" s="277" t="s">
        <v>557</v>
      </c>
      <c r="Q107" s="277" t="s">
        <v>556</v>
      </c>
      <c r="R107" s="277" t="s">
        <v>883</v>
      </c>
      <c r="S107" s="276">
        <v>0</v>
      </c>
      <c r="T107" s="276">
        <v>0</v>
      </c>
      <c r="U107" s="276">
        <v>0</v>
      </c>
      <c r="V107" s="276">
        <v>0</v>
      </c>
      <c r="W107" s="276">
        <v>0</v>
      </c>
      <c r="X107" s="276">
        <v>0</v>
      </c>
      <c r="Y107" s="276">
        <v>0</v>
      </c>
      <c r="Z107" s="276">
        <v>0</v>
      </c>
      <c r="AA107" s="276">
        <v>0</v>
      </c>
      <c r="AB107" s="276">
        <v>0</v>
      </c>
      <c r="AC107" s="276"/>
      <c r="AD107" s="276">
        <v>0</v>
      </c>
      <c r="AE107" s="276"/>
      <c r="AF107" s="276">
        <v>0</v>
      </c>
      <c r="AG107" s="276">
        <v>0</v>
      </c>
      <c r="AH107" s="283" t="s">
        <v>483</v>
      </c>
      <c r="AJ107" s="281" t="s">
        <v>553</v>
      </c>
      <c r="AK107" s="280" t="s">
        <v>552</v>
      </c>
      <c r="AL107" s="276">
        <v>1.8</v>
      </c>
      <c r="AM107" s="279">
        <v>0</v>
      </c>
      <c r="AN107" s="276">
        <v>0</v>
      </c>
      <c r="AO107" s="276">
        <v>1.8</v>
      </c>
      <c r="AP107" s="279">
        <v>0</v>
      </c>
      <c r="AQ107" s="276">
        <v>0</v>
      </c>
      <c r="AR107" s="276">
        <v>0</v>
      </c>
      <c r="AS107" s="271">
        <v>2</v>
      </c>
      <c r="AT107" s="276">
        <v>0</v>
      </c>
      <c r="AU107" s="279">
        <v>0</v>
      </c>
      <c r="AV107" s="276">
        <v>0</v>
      </c>
      <c r="AW107" s="276">
        <v>0</v>
      </c>
      <c r="AX107" s="279">
        <v>0</v>
      </c>
      <c r="AY107" s="276">
        <v>0</v>
      </c>
      <c r="AZ107" s="276">
        <v>0</v>
      </c>
      <c r="BA107" s="278" t="s">
        <v>551</v>
      </c>
      <c r="BB107" s="276">
        <v>0</v>
      </c>
      <c r="BC107" s="279">
        <v>0</v>
      </c>
      <c r="BD107" s="276">
        <v>0</v>
      </c>
      <c r="BE107" s="276">
        <v>0</v>
      </c>
      <c r="BF107" s="279">
        <v>0</v>
      </c>
      <c r="BG107" s="276">
        <v>0</v>
      </c>
      <c r="BH107" s="276">
        <v>0</v>
      </c>
      <c r="BI107" s="278" t="s">
        <v>550</v>
      </c>
      <c r="BJ107" s="276">
        <v>0</v>
      </c>
      <c r="BK107" s="276">
        <v>0</v>
      </c>
      <c r="BL107" s="276">
        <v>0</v>
      </c>
      <c r="BM107" s="276">
        <v>0</v>
      </c>
      <c r="BN107" s="276">
        <v>0</v>
      </c>
      <c r="BO107" s="276">
        <v>0</v>
      </c>
      <c r="BP107" s="276">
        <v>0</v>
      </c>
    </row>
    <row r="108" spans="1:68" x14ac:dyDescent="0.35">
      <c r="A108" s="277" t="s">
        <v>563</v>
      </c>
      <c r="B108" s="277" t="s">
        <v>562</v>
      </c>
      <c r="C108" s="283" t="s">
        <v>891</v>
      </c>
      <c r="D108" s="277" t="s">
        <v>560</v>
      </c>
      <c r="F108" s="277" t="s">
        <v>890</v>
      </c>
      <c r="K108" s="277" t="s">
        <v>883</v>
      </c>
      <c r="L108" s="277" t="s">
        <v>557</v>
      </c>
      <c r="N108" s="277" t="s">
        <v>884</v>
      </c>
      <c r="O108" s="277" t="s">
        <v>883</v>
      </c>
      <c r="P108" s="277" t="s">
        <v>557</v>
      </c>
      <c r="Q108" s="277" t="s">
        <v>556</v>
      </c>
      <c r="R108" s="277" t="s">
        <v>883</v>
      </c>
      <c r="S108" s="276">
        <v>0</v>
      </c>
      <c r="T108" s="276">
        <v>0</v>
      </c>
      <c r="U108" s="276">
        <v>0</v>
      </c>
      <c r="V108" s="276">
        <v>0</v>
      </c>
      <c r="W108" s="276">
        <v>0</v>
      </c>
      <c r="X108" s="276">
        <v>0</v>
      </c>
      <c r="Y108" s="276">
        <v>0</v>
      </c>
      <c r="Z108" s="276">
        <v>0</v>
      </c>
      <c r="AA108" s="276">
        <v>0</v>
      </c>
      <c r="AB108" s="276">
        <v>0</v>
      </c>
      <c r="AC108" s="276"/>
      <c r="AD108" s="276">
        <v>0</v>
      </c>
      <c r="AE108" s="276"/>
      <c r="AF108" s="276">
        <v>0</v>
      </c>
      <c r="AG108" s="276">
        <v>0</v>
      </c>
      <c r="AH108" s="283" t="s">
        <v>483</v>
      </c>
      <c r="AJ108" s="281" t="s">
        <v>553</v>
      </c>
      <c r="AK108" s="280" t="s">
        <v>552</v>
      </c>
      <c r="AL108" s="276">
        <v>1.25</v>
      </c>
      <c r="AM108" s="279">
        <v>0</v>
      </c>
      <c r="AN108" s="276">
        <v>0</v>
      </c>
      <c r="AO108" s="276">
        <v>1.25</v>
      </c>
      <c r="AP108" s="279">
        <v>0</v>
      </c>
      <c r="AQ108" s="276">
        <v>0</v>
      </c>
      <c r="AR108" s="276">
        <v>0</v>
      </c>
      <c r="AS108" s="271">
        <v>2</v>
      </c>
      <c r="AT108" s="276">
        <v>0</v>
      </c>
      <c r="AU108" s="279">
        <v>0</v>
      </c>
      <c r="AV108" s="276">
        <v>0</v>
      </c>
      <c r="AW108" s="276">
        <v>0</v>
      </c>
      <c r="AX108" s="279">
        <v>0</v>
      </c>
      <c r="AY108" s="276">
        <v>0</v>
      </c>
      <c r="AZ108" s="276">
        <v>0</v>
      </c>
      <c r="BA108" s="278" t="s">
        <v>551</v>
      </c>
      <c r="BB108" s="276">
        <v>0</v>
      </c>
      <c r="BC108" s="279">
        <v>0</v>
      </c>
      <c r="BD108" s="276">
        <v>0</v>
      </c>
      <c r="BE108" s="276">
        <v>0</v>
      </c>
      <c r="BF108" s="279">
        <v>0</v>
      </c>
      <c r="BG108" s="276">
        <v>0</v>
      </c>
      <c r="BH108" s="276">
        <v>0</v>
      </c>
      <c r="BI108" s="278" t="s">
        <v>550</v>
      </c>
      <c r="BJ108" s="276">
        <v>0</v>
      </c>
      <c r="BK108" s="276">
        <v>0</v>
      </c>
      <c r="BL108" s="276">
        <v>0</v>
      </c>
      <c r="BM108" s="276">
        <v>0</v>
      </c>
      <c r="BN108" s="276">
        <v>0</v>
      </c>
      <c r="BO108" s="276">
        <v>0</v>
      </c>
      <c r="BP108" s="276">
        <v>0</v>
      </c>
    </row>
    <row r="109" spans="1:68" x14ac:dyDescent="0.35">
      <c r="A109" s="277" t="s">
        <v>563</v>
      </c>
      <c r="B109" s="277" t="s">
        <v>562</v>
      </c>
      <c r="C109" s="283" t="s">
        <v>889</v>
      </c>
      <c r="D109" s="277" t="s">
        <v>560</v>
      </c>
      <c r="F109" s="277" t="s">
        <v>888</v>
      </c>
      <c r="K109" s="277" t="s">
        <v>883</v>
      </c>
      <c r="L109" s="277" t="s">
        <v>557</v>
      </c>
      <c r="N109" s="277" t="s">
        <v>884</v>
      </c>
      <c r="O109" s="277" t="s">
        <v>883</v>
      </c>
      <c r="P109" s="277" t="s">
        <v>557</v>
      </c>
      <c r="Q109" s="277" t="s">
        <v>556</v>
      </c>
      <c r="R109" s="277" t="s">
        <v>883</v>
      </c>
      <c r="S109" s="276">
        <v>0</v>
      </c>
      <c r="T109" s="276">
        <v>0</v>
      </c>
      <c r="U109" s="276">
        <v>0</v>
      </c>
      <c r="V109" s="276">
        <v>0</v>
      </c>
      <c r="W109" s="276">
        <v>0</v>
      </c>
      <c r="X109" s="276">
        <v>0</v>
      </c>
      <c r="Y109" s="276">
        <v>0</v>
      </c>
      <c r="Z109" s="276">
        <v>0</v>
      </c>
      <c r="AA109" s="276">
        <v>0</v>
      </c>
      <c r="AB109" s="276">
        <v>0</v>
      </c>
      <c r="AC109" s="276"/>
      <c r="AD109" s="276">
        <v>0</v>
      </c>
      <c r="AE109" s="276"/>
      <c r="AF109" s="276">
        <v>0</v>
      </c>
      <c r="AG109" s="276">
        <v>0</v>
      </c>
      <c r="AH109" s="283" t="s">
        <v>86</v>
      </c>
      <c r="AI109" s="282" t="s">
        <v>887</v>
      </c>
      <c r="AJ109" s="281" t="s">
        <v>553</v>
      </c>
      <c r="AK109" s="280" t="s">
        <v>552</v>
      </c>
      <c r="AL109" s="276">
        <v>2.3199999999999998</v>
      </c>
      <c r="AM109" s="279">
        <v>0</v>
      </c>
      <c r="AN109" s="276">
        <v>0</v>
      </c>
      <c r="AO109" s="276">
        <v>2.3199999999999998</v>
      </c>
      <c r="AP109" s="279">
        <v>0</v>
      </c>
      <c r="AQ109" s="276">
        <v>0</v>
      </c>
      <c r="AR109" s="276">
        <v>0</v>
      </c>
      <c r="AS109" s="271">
        <v>2</v>
      </c>
      <c r="AT109" s="276">
        <v>0</v>
      </c>
      <c r="AU109" s="279">
        <v>0</v>
      </c>
      <c r="AV109" s="276">
        <v>0</v>
      </c>
      <c r="AW109" s="276">
        <v>0</v>
      </c>
      <c r="AX109" s="279">
        <v>0</v>
      </c>
      <c r="AY109" s="276">
        <v>0</v>
      </c>
      <c r="AZ109" s="276">
        <v>0</v>
      </c>
      <c r="BA109" s="278" t="s">
        <v>551</v>
      </c>
      <c r="BB109" s="276">
        <v>0</v>
      </c>
      <c r="BC109" s="279">
        <v>0</v>
      </c>
      <c r="BD109" s="276">
        <v>0</v>
      </c>
      <c r="BE109" s="276">
        <v>0</v>
      </c>
      <c r="BF109" s="279">
        <v>0</v>
      </c>
      <c r="BG109" s="276">
        <v>0</v>
      </c>
      <c r="BH109" s="276">
        <v>0</v>
      </c>
      <c r="BI109" s="278" t="s">
        <v>550</v>
      </c>
      <c r="BJ109" s="276">
        <v>0</v>
      </c>
      <c r="BK109" s="276">
        <v>0</v>
      </c>
      <c r="BL109" s="276">
        <v>0</v>
      </c>
      <c r="BM109" s="276">
        <v>0</v>
      </c>
      <c r="BN109" s="276">
        <v>0</v>
      </c>
      <c r="BO109" s="276">
        <v>0</v>
      </c>
      <c r="BP109" s="276">
        <v>0</v>
      </c>
    </row>
    <row r="110" spans="1:68" x14ac:dyDescent="0.35">
      <c r="A110" s="277" t="s">
        <v>563</v>
      </c>
      <c r="B110" s="277" t="s">
        <v>562</v>
      </c>
      <c r="C110" s="283" t="s">
        <v>886</v>
      </c>
      <c r="D110" s="277" t="s">
        <v>560</v>
      </c>
      <c r="F110" s="277" t="s">
        <v>885</v>
      </c>
      <c r="K110" s="277" t="s">
        <v>883</v>
      </c>
      <c r="L110" s="277" t="s">
        <v>557</v>
      </c>
      <c r="N110" s="277" t="s">
        <v>884</v>
      </c>
      <c r="O110" s="277" t="s">
        <v>883</v>
      </c>
      <c r="P110" s="277" t="s">
        <v>557</v>
      </c>
      <c r="Q110" s="277" t="s">
        <v>556</v>
      </c>
      <c r="R110" s="277" t="s">
        <v>883</v>
      </c>
      <c r="S110" s="276">
        <v>0</v>
      </c>
      <c r="T110" s="276">
        <v>0</v>
      </c>
      <c r="U110" s="276">
        <v>0</v>
      </c>
      <c r="V110" s="276">
        <v>0</v>
      </c>
      <c r="W110" s="276">
        <v>0</v>
      </c>
      <c r="X110" s="276">
        <v>0</v>
      </c>
      <c r="Y110" s="276">
        <v>0</v>
      </c>
      <c r="Z110" s="276">
        <v>0</v>
      </c>
      <c r="AA110" s="276">
        <v>0</v>
      </c>
      <c r="AB110" s="276">
        <v>0</v>
      </c>
      <c r="AC110" s="276"/>
      <c r="AD110" s="276">
        <v>0</v>
      </c>
      <c r="AE110" s="276"/>
      <c r="AF110" s="276">
        <v>0</v>
      </c>
      <c r="AG110" s="276">
        <v>0</v>
      </c>
      <c r="AH110" s="283" t="s">
        <v>483</v>
      </c>
      <c r="AJ110" s="281" t="s">
        <v>553</v>
      </c>
      <c r="AK110" s="280" t="s">
        <v>552</v>
      </c>
      <c r="AL110" s="276">
        <v>1.1499999999999999</v>
      </c>
      <c r="AM110" s="279">
        <v>0</v>
      </c>
      <c r="AN110" s="276">
        <v>0</v>
      </c>
      <c r="AO110" s="276">
        <v>1.1499999999999999</v>
      </c>
      <c r="AP110" s="279">
        <v>0</v>
      </c>
      <c r="AQ110" s="276">
        <v>0</v>
      </c>
      <c r="AR110" s="276">
        <v>0</v>
      </c>
      <c r="AS110" s="271">
        <v>2</v>
      </c>
      <c r="AT110" s="276">
        <v>0</v>
      </c>
      <c r="AU110" s="279">
        <v>0</v>
      </c>
      <c r="AV110" s="276">
        <v>0</v>
      </c>
      <c r="AW110" s="276">
        <v>0</v>
      </c>
      <c r="AX110" s="279">
        <v>0</v>
      </c>
      <c r="AY110" s="276">
        <v>0</v>
      </c>
      <c r="AZ110" s="276">
        <v>0</v>
      </c>
      <c r="BA110" s="278" t="s">
        <v>551</v>
      </c>
      <c r="BB110" s="276">
        <v>0</v>
      </c>
      <c r="BC110" s="279">
        <v>0</v>
      </c>
      <c r="BD110" s="276">
        <v>0</v>
      </c>
      <c r="BE110" s="276">
        <v>0</v>
      </c>
      <c r="BF110" s="279">
        <v>0</v>
      </c>
      <c r="BG110" s="276">
        <v>0</v>
      </c>
      <c r="BH110" s="276">
        <v>0</v>
      </c>
      <c r="BI110" s="278" t="s">
        <v>550</v>
      </c>
      <c r="BJ110" s="276">
        <v>0</v>
      </c>
      <c r="BK110" s="276">
        <v>0</v>
      </c>
      <c r="BL110" s="276">
        <v>0</v>
      </c>
      <c r="BM110" s="276">
        <v>0</v>
      </c>
      <c r="BN110" s="276">
        <v>0</v>
      </c>
      <c r="BO110" s="276">
        <v>0</v>
      </c>
      <c r="BP110" s="276">
        <v>0</v>
      </c>
    </row>
    <row r="111" spans="1:68" x14ac:dyDescent="0.35">
      <c r="A111" s="277" t="s">
        <v>563</v>
      </c>
      <c r="B111" s="277" t="s">
        <v>562</v>
      </c>
      <c r="C111" s="283" t="s">
        <v>503</v>
      </c>
      <c r="D111" s="277" t="s">
        <v>560</v>
      </c>
      <c r="F111" s="277" t="s">
        <v>502</v>
      </c>
      <c r="K111" s="277" t="s">
        <v>819</v>
      </c>
      <c r="L111" s="277" t="s">
        <v>557</v>
      </c>
      <c r="N111" s="277" t="s">
        <v>820</v>
      </c>
      <c r="O111" s="277" t="s">
        <v>819</v>
      </c>
      <c r="P111" s="277" t="s">
        <v>557</v>
      </c>
      <c r="Q111" s="277" t="s">
        <v>556</v>
      </c>
      <c r="R111" s="277" t="s">
        <v>819</v>
      </c>
      <c r="S111" s="276">
        <v>0</v>
      </c>
      <c r="T111" s="276">
        <v>0</v>
      </c>
      <c r="U111" s="276">
        <v>0</v>
      </c>
      <c r="V111" s="276">
        <v>0</v>
      </c>
      <c r="W111" s="276">
        <v>0</v>
      </c>
      <c r="X111" s="276">
        <v>0</v>
      </c>
      <c r="Y111" s="276">
        <v>0</v>
      </c>
      <c r="Z111" s="276">
        <v>0</v>
      </c>
      <c r="AA111" s="276">
        <v>0</v>
      </c>
      <c r="AB111" s="276">
        <v>0</v>
      </c>
      <c r="AC111" s="276"/>
      <c r="AD111" s="276">
        <v>0</v>
      </c>
      <c r="AE111" s="276"/>
      <c r="AF111" s="276">
        <v>0</v>
      </c>
      <c r="AG111" s="276">
        <v>0</v>
      </c>
      <c r="AH111" s="283" t="s">
        <v>86</v>
      </c>
      <c r="AI111" s="282" t="s">
        <v>498</v>
      </c>
      <c r="AJ111" s="281" t="s">
        <v>553</v>
      </c>
      <c r="AK111" s="280" t="s">
        <v>552</v>
      </c>
      <c r="AL111" s="276">
        <v>1.9</v>
      </c>
      <c r="AM111" s="279">
        <v>0</v>
      </c>
      <c r="AN111" s="276">
        <v>0</v>
      </c>
      <c r="AO111" s="276">
        <v>1.9</v>
      </c>
      <c r="AP111" s="279">
        <v>0</v>
      </c>
      <c r="AQ111" s="276">
        <v>0</v>
      </c>
      <c r="AR111" s="276">
        <v>0</v>
      </c>
      <c r="AS111" s="271">
        <v>2</v>
      </c>
      <c r="AT111" s="276">
        <v>0</v>
      </c>
      <c r="AU111" s="279">
        <v>0</v>
      </c>
      <c r="AV111" s="276">
        <v>0</v>
      </c>
      <c r="AW111" s="276">
        <v>0</v>
      </c>
      <c r="AX111" s="279">
        <v>0</v>
      </c>
      <c r="AY111" s="276">
        <v>0</v>
      </c>
      <c r="AZ111" s="276">
        <v>0</v>
      </c>
      <c r="BA111" s="278" t="s">
        <v>551</v>
      </c>
      <c r="BB111" s="276">
        <v>0</v>
      </c>
      <c r="BC111" s="279">
        <v>0</v>
      </c>
      <c r="BD111" s="276">
        <v>0</v>
      </c>
      <c r="BE111" s="276">
        <v>0</v>
      </c>
      <c r="BF111" s="279">
        <v>0</v>
      </c>
      <c r="BG111" s="276">
        <v>0</v>
      </c>
      <c r="BH111" s="276">
        <v>0</v>
      </c>
      <c r="BI111" s="278" t="s">
        <v>550</v>
      </c>
      <c r="BJ111" s="276">
        <v>0</v>
      </c>
      <c r="BK111" s="276">
        <v>0</v>
      </c>
      <c r="BL111" s="276">
        <v>0</v>
      </c>
      <c r="BM111" s="276">
        <v>0</v>
      </c>
      <c r="BN111" s="276">
        <v>0</v>
      </c>
      <c r="BO111" s="276">
        <v>0</v>
      </c>
      <c r="BP111" s="276">
        <v>0</v>
      </c>
    </row>
    <row r="112" spans="1:68" x14ac:dyDescent="0.35">
      <c r="A112" s="277" t="s">
        <v>563</v>
      </c>
      <c r="B112" s="277" t="s">
        <v>562</v>
      </c>
      <c r="C112" s="283" t="s">
        <v>501</v>
      </c>
      <c r="D112" s="277" t="s">
        <v>560</v>
      </c>
      <c r="F112" s="277" t="s">
        <v>500</v>
      </c>
      <c r="K112" s="277" t="s">
        <v>819</v>
      </c>
      <c r="L112" s="277" t="s">
        <v>557</v>
      </c>
      <c r="N112" s="277" t="s">
        <v>820</v>
      </c>
      <c r="O112" s="277" t="s">
        <v>819</v>
      </c>
      <c r="P112" s="277" t="s">
        <v>557</v>
      </c>
      <c r="Q112" s="277" t="s">
        <v>556</v>
      </c>
      <c r="R112" s="277" t="s">
        <v>819</v>
      </c>
      <c r="S112" s="276">
        <v>0</v>
      </c>
      <c r="T112" s="276">
        <v>0</v>
      </c>
      <c r="U112" s="276">
        <v>0</v>
      </c>
      <c r="V112" s="276">
        <v>0</v>
      </c>
      <c r="W112" s="276">
        <v>0</v>
      </c>
      <c r="X112" s="276">
        <v>0</v>
      </c>
      <c r="Y112" s="276">
        <v>0</v>
      </c>
      <c r="Z112" s="276">
        <v>0</v>
      </c>
      <c r="AA112" s="276">
        <v>0</v>
      </c>
      <c r="AB112" s="276">
        <v>0</v>
      </c>
      <c r="AC112" s="276"/>
      <c r="AD112" s="276">
        <v>0</v>
      </c>
      <c r="AE112" s="276"/>
      <c r="AF112" s="276">
        <v>0</v>
      </c>
      <c r="AG112" s="276">
        <v>0</v>
      </c>
      <c r="AH112" s="283" t="s">
        <v>86</v>
      </c>
      <c r="AI112" s="282" t="s">
        <v>496</v>
      </c>
      <c r="AJ112" s="281" t="s">
        <v>553</v>
      </c>
      <c r="AK112" s="280" t="s">
        <v>552</v>
      </c>
      <c r="AL112" s="276">
        <v>1.18</v>
      </c>
      <c r="AM112" s="279">
        <v>0</v>
      </c>
      <c r="AN112" s="276">
        <v>0</v>
      </c>
      <c r="AO112" s="276">
        <v>1.18</v>
      </c>
      <c r="AP112" s="279">
        <v>0</v>
      </c>
      <c r="AQ112" s="276">
        <v>0</v>
      </c>
      <c r="AR112" s="276">
        <v>0</v>
      </c>
      <c r="AS112" s="271">
        <v>2</v>
      </c>
      <c r="AT112" s="276">
        <v>0</v>
      </c>
      <c r="AU112" s="279">
        <v>0</v>
      </c>
      <c r="AV112" s="276">
        <v>0</v>
      </c>
      <c r="AW112" s="276">
        <v>0</v>
      </c>
      <c r="AX112" s="279">
        <v>0</v>
      </c>
      <c r="AY112" s="276">
        <v>0</v>
      </c>
      <c r="AZ112" s="276">
        <v>0</v>
      </c>
      <c r="BA112" s="278" t="s">
        <v>551</v>
      </c>
      <c r="BB112" s="276">
        <v>0</v>
      </c>
      <c r="BC112" s="279">
        <v>0</v>
      </c>
      <c r="BD112" s="276">
        <v>0</v>
      </c>
      <c r="BE112" s="276">
        <v>0</v>
      </c>
      <c r="BF112" s="279">
        <v>0</v>
      </c>
      <c r="BG112" s="276">
        <v>0</v>
      </c>
      <c r="BH112" s="276">
        <v>0</v>
      </c>
      <c r="BI112" s="278" t="s">
        <v>550</v>
      </c>
      <c r="BJ112" s="276">
        <v>0</v>
      </c>
      <c r="BK112" s="276">
        <v>0</v>
      </c>
      <c r="BL112" s="276">
        <v>0</v>
      </c>
      <c r="BM112" s="276">
        <v>0</v>
      </c>
      <c r="BN112" s="276">
        <v>0</v>
      </c>
      <c r="BO112" s="276">
        <v>0</v>
      </c>
      <c r="BP112" s="276">
        <v>0</v>
      </c>
    </row>
    <row r="113" spans="1:68" x14ac:dyDescent="0.35">
      <c r="A113" s="277" t="s">
        <v>563</v>
      </c>
      <c r="B113" s="277" t="s">
        <v>562</v>
      </c>
      <c r="C113" s="283" t="s">
        <v>492</v>
      </c>
      <c r="D113" s="277" t="s">
        <v>560</v>
      </c>
      <c r="F113" s="277" t="s">
        <v>499</v>
      </c>
      <c r="K113" s="277" t="s">
        <v>819</v>
      </c>
      <c r="L113" s="277" t="s">
        <v>557</v>
      </c>
      <c r="N113" s="277" t="s">
        <v>820</v>
      </c>
      <c r="O113" s="277" t="s">
        <v>819</v>
      </c>
      <c r="P113" s="277" t="s">
        <v>557</v>
      </c>
      <c r="Q113" s="277" t="s">
        <v>556</v>
      </c>
      <c r="R113" s="277" t="s">
        <v>819</v>
      </c>
      <c r="S113" s="276">
        <v>0</v>
      </c>
      <c r="T113" s="276">
        <v>0</v>
      </c>
      <c r="U113" s="276">
        <v>0</v>
      </c>
      <c r="V113" s="276">
        <v>0</v>
      </c>
      <c r="W113" s="276">
        <v>0</v>
      </c>
      <c r="X113" s="276">
        <v>0</v>
      </c>
      <c r="Y113" s="276">
        <v>0</v>
      </c>
      <c r="Z113" s="276">
        <v>0</v>
      </c>
      <c r="AA113" s="276">
        <v>0</v>
      </c>
      <c r="AB113" s="276">
        <v>0</v>
      </c>
      <c r="AC113" s="276"/>
      <c r="AD113" s="276">
        <v>0</v>
      </c>
      <c r="AE113" s="276"/>
      <c r="AF113" s="276">
        <v>0</v>
      </c>
      <c r="AG113" s="276">
        <v>0</v>
      </c>
      <c r="AH113" s="283" t="s">
        <v>483</v>
      </c>
      <c r="AJ113" s="281" t="s">
        <v>553</v>
      </c>
      <c r="AK113" s="280" t="s">
        <v>552</v>
      </c>
      <c r="AL113" s="276">
        <v>0.66</v>
      </c>
      <c r="AM113" s="279">
        <v>0</v>
      </c>
      <c r="AN113" s="276">
        <v>0</v>
      </c>
      <c r="AO113" s="276">
        <v>0.66</v>
      </c>
      <c r="AP113" s="279">
        <v>0</v>
      </c>
      <c r="AQ113" s="276">
        <v>0</v>
      </c>
      <c r="AR113" s="276">
        <v>0</v>
      </c>
      <c r="AS113" s="271">
        <v>2</v>
      </c>
      <c r="AT113" s="276">
        <v>0</v>
      </c>
      <c r="AU113" s="279">
        <v>0</v>
      </c>
      <c r="AV113" s="276">
        <v>0</v>
      </c>
      <c r="AW113" s="276">
        <v>0</v>
      </c>
      <c r="AX113" s="279">
        <v>0</v>
      </c>
      <c r="AY113" s="276">
        <v>0</v>
      </c>
      <c r="AZ113" s="276">
        <v>0</v>
      </c>
      <c r="BA113" s="278" t="s">
        <v>551</v>
      </c>
      <c r="BB113" s="276">
        <v>0</v>
      </c>
      <c r="BC113" s="279">
        <v>0</v>
      </c>
      <c r="BD113" s="276">
        <v>0</v>
      </c>
      <c r="BE113" s="276">
        <v>0</v>
      </c>
      <c r="BF113" s="279">
        <v>0</v>
      </c>
      <c r="BG113" s="276">
        <v>0</v>
      </c>
      <c r="BH113" s="276">
        <v>0</v>
      </c>
      <c r="BI113" s="278" t="s">
        <v>550</v>
      </c>
      <c r="BJ113" s="276">
        <v>0</v>
      </c>
      <c r="BK113" s="276">
        <v>0</v>
      </c>
      <c r="BL113" s="276">
        <v>0</v>
      </c>
      <c r="BM113" s="276">
        <v>0</v>
      </c>
      <c r="BN113" s="276">
        <v>0</v>
      </c>
      <c r="BO113" s="276">
        <v>0</v>
      </c>
      <c r="BP113" s="276">
        <v>0</v>
      </c>
    </row>
    <row r="114" spans="1:68" x14ac:dyDescent="0.35">
      <c r="A114" s="277" t="s">
        <v>563</v>
      </c>
      <c r="B114" s="277" t="s">
        <v>562</v>
      </c>
      <c r="C114" s="283" t="s">
        <v>498</v>
      </c>
      <c r="D114" s="277" t="s">
        <v>560</v>
      </c>
      <c r="F114" s="277" t="s">
        <v>497</v>
      </c>
      <c r="K114" s="277" t="s">
        <v>819</v>
      </c>
      <c r="L114" s="277" t="s">
        <v>557</v>
      </c>
      <c r="N114" s="277" t="s">
        <v>820</v>
      </c>
      <c r="O114" s="277" t="s">
        <v>819</v>
      </c>
      <c r="P114" s="277" t="s">
        <v>557</v>
      </c>
      <c r="Q114" s="277" t="s">
        <v>556</v>
      </c>
      <c r="R114" s="277" t="s">
        <v>819</v>
      </c>
      <c r="S114" s="276">
        <v>0</v>
      </c>
      <c r="T114" s="276">
        <v>0</v>
      </c>
      <c r="U114" s="276">
        <v>0</v>
      </c>
      <c r="V114" s="276">
        <v>0</v>
      </c>
      <c r="W114" s="276">
        <v>0</v>
      </c>
      <c r="X114" s="276">
        <v>0</v>
      </c>
      <c r="Y114" s="276">
        <v>0</v>
      </c>
      <c r="Z114" s="276">
        <v>0</v>
      </c>
      <c r="AA114" s="276">
        <v>0</v>
      </c>
      <c r="AB114" s="276">
        <v>0</v>
      </c>
      <c r="AC114" s="276"/>
      <c r="AD114" s="276">
        <v>0</v>
      </c>
      <c r="AE114" s="276"/>
      <c r="AF114" s="276">
        <v>0</v>
      </c>
      <c r="AG114" s="276">
        <v>0</v>
      </c>
      <c r="AH114" s="283" t="s">
        <v>483</v>
      </c>
      <c r="AJ114" s="281" t="s">
        <v>553</v>
      </c>
      <c r="AK114" s="280" t="s">
        <v>552</v>
      </c>
      <c r="AL114" s="276">
        <v>1.0900000000000001</v>
      </c>
      <c r="AM114" s="279">
        <v>0</v>
      </c>
      <c r="AN114" s="276">
        <v>0</v>
      </c>
      <c r="AO114" s="276">
        <v>1.0900000000000001</v>
      </c>
      <c r="AP114" s="279">
        <v>0</v>
      </c>
      <c r="AQ114" s="276">
        <v>0</v>
      </c>
      <c r="AR114" s="276">
        <v>0</v>
      </c>
      <c r="AS114" s="271">
        <v>2</v>
      </c>
      <c r="AT114" s="276">
        <v>0</v>
      </c>
      <c r="AU114" s="279">
        <v>0</v>
      </c>
      <c r="AV114" s="276">
        <v>0</v>
      </c>
      <c r="AW114" s="276">
        <v>0</v>
      </c>
      <c r="AX114" s="279">
        <v>0</v>
      </c>
      <c r="AY114" s="276">
        <v>0</v>
      </c>
      <c r="AZ114" s="276">
        <v>0</v>
      </c>
      <c r="BA114" s="278" t="s">
        <v>551</v>
      </c>
      <c r="BB114" s="276">
        <v>0</v>
      </c>
      <c r="BC114" s="279">
        <v>0</v>
      </c>
      <c r="BD114" s="276">
        <v>0</v>
      </c>
      <c r="BE114" s="276">
        <v>0</v>
      </c>
      <c r="BF114" s="279">
        <v>0</v>
      </c>
      <c r="BG114" s="276">
        <v>0</v>
      </c>
      <c r="BH114" s="276">
        <v>0</v>
      </c>
      <c r="BI114" s="278" t="s">
        <v>550</v>
      </c>
      <c r="BJ114" s="276">
        <v>0</v>
      </c>
      <c r="BK114" s="276">
        <v>0</v>
      </c>
      <c r="BL114" s="276">
        <v>0</v>
      </c>
      <c r="BM114" s="276">
        <v>0</v>
      </c>
      <c r="BN114" s="276">
        <v>0</v>
      </c>
      <c r="BO114" s="276">
        <v>0</v>
      </c>
      <c r="BP114" s="276">
        <v>0</v>
      </c>
    </row>
    <row r="115" spans="1:68" x14ac:dyDescent="0.35">
      <c r="A115" s="277" t="s">
        <v>563</v>
      </c>
      <c r="B115" s="277" t="s">
        <v>562</v>
      </c>
      <c r="C115" s="283" t="s">
        <v>496</v>
      </c>
      <c r="D115" s="277" t="s">
        <v>560</v>
      </c>
      <c r="F115" s="277" t="s">
        <v>495</v>
      </c>
      <c r="K115" s="277" t="s">
        <v>819</v>
      </c>
      <c r="L115" s="277" t="s">
        <v>557</v>
      </c>
      <c r="N115" s="277" t="s">
        <v>820</v>
      </c>
      <c r="O115" s="277" t="s">
        <v>819</v>
      </c>
      <c r="P115" s="277" t="s">
        <v>557</v>
      </c>
      <c r="Q115" s="277" t="s">
        <v>556</v>
      </c>
      <c r="R115" s="277" t="s">
        <v>819</v>
      </c>
      <c r="S115" s="276">
        <v>0</v>
      </c>
      <c r="T115" s="276">
        <v>0</v>
      </c>
      <c r="U115" s="276">
        <v>0</v>
      </c>
      <c r="V115" s="276">
        <v>0</v>
      </c>
      <c r="W115" s="276">
        <v>0</v>
      </c>
      <c r="X115" s="276">
        <v>0</v>
      </c>
      <c r="Y115" s="276">
        <v>0</v>
      </c>
      <c r="Z115" s="276">
        <v>0</v>
      </c>
      <c r="AA115" s="276">
        <v>0</v>
      </c>
      <c r="AB115" s="276">
        <v>0</v>
      </c>
      <c r="AC115" s="276"/>
      <c r="AD115" s="276">
        <v>0</v>
      </c>
      <c r="AE115" s="276"/>
      <c r="AF115" s="276">
        <v>0</v>
      </c>
      <c r="AG115" s="276">
        <v>0</v>
      </c>
      <c r="AH115" s="283" t="s">
        <v>483</v>
      </c>
      <c r="AJ115" s="281" t="s">
        <v>553</v>
      </c>
      <c r="AK115" s="280" t="s">
        <v>552</v>
      </c>
      <c r="AL115" s="276">
        <v>0.78</v>
      </c>
      <c r="AM115" s="279">
        <v>0</v>
      </c>
      <c r="AN115" s="276">
        <v>0</v>
      </c>
      <c r="AO115" s="276">
        <v>0.78</v>
      </c>
      <c r="AP115" s="279">
        <v>0</v>
      </c>
      <c r="AQ115" s="276">
        <v>0</v>
      </c>
      <c r="AR115" s="276">
        <v>0</v>
      </c>
      <c r="AS115" s="271">
        <v>2</v>
      </c>
      <c r="AT115" s="276">
        <v>0</v>
      </c>
      <c r="AU115" s="279">
        <v>0</v>
      </c>
      <c r="AV115" s="276">
        <v>0</v>
      </c>
      <c r="AW115" s="276">
        <v>0</v>
      </c>
      <c r="AX115" s="279">
        <v>0</v>
      </c>
      <c r="AY115" s="276">
        <v>0</v>
      </c>
      <c r="AZ115" s="276">
        <v>0</v>
      </c>
      <c r="BA115" s="278" t="s">
        <v>551</v>
      </c>
      <c r="BB115" s="276">
        <v>0</v>
      </c>
      <c r="BC115" s="279">
        <v>0</v>
      </c>
      <c r="BD115" s="276">
        <v>0</v>
      </c>
      <c r="BE115" s="276">
        <v>0</v>
      </c>
      <c r="BF115" s="279">
        <v>0</v>
      </c>
      <c r="BG115" s="276">
        <v>0</v>
      </c>
      <c r="BH115" s="276">
        <v>0</v>
      </c>
      <c r="BI115" s="278" t="s">
        <v>550</v>
      </c>
      <c r="BJ115" s="276">
        <v>0</v>
      </c>
      <c r="BK115" s="276">
        <v>0</v>
      </c>
      <c r="BL115" s="276">
        <v>0</v>
      </c>
      <c r="BM115" s="276">
        <v>0</v>
      </c>
      <c r="BN115" s="276">
        <v>0</v>
      </c>
      <c r="BO115" s="276">
        <v>0</v>
      </c>
      <c r="BP115" s="276">
        <v>0</v>
      </c>
    </row>
    <row r="116" spans="1:68" x14ac:dyDescent="0.35">
      <c r="A116" s="277" t="s">
        <v>563</v>
      </c>
      <c r="B116" s="277" t="s">
        <v>562</v>
      </c>
      <c r="C116" s="283" t="s">
        <v>494</v>
      </c>
      <c r="D116" s="277" t="s">
        <v>560</v>
      </c>
      <c r="F116" s="277" t="s">
        <v>493</v>
      </c>
      <c r="K116" s="277" t="s">
        <v>819</v>
      </c>
      <c r="L116" s="277" t="s">
        <v>557</v>
      </c>
      <c r="N116" s="277" t="s">
        <v>820</v>
      </c>
      <c r="O116" s="277" t="s">
        <v>819</v>
      </c>
      <c r="P116" s="277" t="s">
        <v>557</v>
      </c>
      <c r="Q116" s="277" t="s">
        <v>556</v>
      </c>
      <c r="R116" s="277" t="s">
        <v>819</v>
      </c>
      <c r="S116" s="276">
        <v>0</v>
      </c>
      <c r="T116" s="276">
        <v>0</v>
      </c>
      <c r="U116" s="276">
        <v>0</v>
      </c>
      <c r="V116" s="276">
        <v>0</v>
      </c>
      <c r="W116" s="276">
        <v>0</v>
      </c>
      <c r="X116" s="276">
        <v>0</v>
      </c>
      <c r="Y116" s="276">
        <v>0</v>
      </c>
      <c r="Z116" s="276">
        <v>0</v>
      </c>
      <c r="AA116" s="276">
        <v>0</v>
      </c>
      <c r="AB116" s="276">
        <v>0</v>
      </c>
      <c r="AC116" s="276"/>
      <c r="AD116" s="276">
        <v>0</v>
      </c>
      <c r="AE116" s="276"/>
      <c r="AF116" s="276">
        <v>0</v>
      </c>
      <c r="AG116" s="276">
        <v>0</v>
      </c>
      <c r="AH116" s="283" t="s">
        <v>86</v>
      </c>
      <c r="AI116" s="282" t="s">
        <v>492</v>
      </c>
      <c r="AJ116" s="281" t="s">
        <v>553</v>
      </c>
      <c r="AK116" s="280" t="s">
        <v>552</v>
      </c>
      <c r="AL116" s="276">
        <v>1.1299999999999999</v>
      </c>
      <c r="AM116" s="279">
        <v>0</v>
      </c>
      <c r="AN116" s="276">
        <v>0</v>
      </c>
      <c r="AO116" s="276">
        <v>1.1299999999999999</v>
      </c>
      <c r="AP116" s="279">
        <v>0</v>
      </c>
      <c r="AQ116" s="276">
        <v>0</v>
      </c>
      <c r="AR116" s="276">
        <v>0</v>
      </c>
      <c r="AS116" s="271">
        <v>2</v>
      </c>
      <c r="AT116" s="276">
        <v>0</v>
      </c>
      <c r="AU116" s="279">
        <v>0</v>
      </c>
      <c r="AV116" s="276">
        <v>0</v>
      </c>
      <c r="AW116" s="276">
        <v>0</v>
      </c>
      <c r="AX116" s="279">
        <v>0</v>
      </c>
      <c r="AY116" s="276">
        <v>0</v>
      </c>
      <c r="AZ116" s="276">
        <v>0</v>
      </c>
      <c r="BA116" s="278" t="s">
        <v>551</v>
      </c>
      <c r="BB116" s="276">
        <v>0</v>
      </c>
      <c r="BC116" s="279">
        <v>0</v>
      </c>
      <c r="BD116" s="276">
        <v>0</v>
      </c>
      <c r="BE116" s="276">
        <v>0</v>
      </c>
      <c r="BF116" s="279">
        <v>0</v>
      </c>
      <c r="BG116" s="276">
        <v>0</v>
      </c>
      <c r="BH116" s="276">
        <v>0</v>
      </c>
      <c r="BI116" s="278" t="s">
        <v>550</v>
      </c>
      <c r="BJ116" s="276">
        <v>0</v>
      </c>
      <c r="BK116" s="276">
        <v>0</v>
      </c>
      <c r="BL116" s="276">
        <v>0</v>
      </c>
      <c r="BM116" s="276">
        <v>0</v>
      </c>
      <c r="BN116" s="276">
        <v>0</v>
      </c>
      <c r="BO116" s="276">
        <v>0</v>
      </c>
      <c r="BP116" s="276">
        <v>0</v>
      </c>
    </row>
    <row r="117" spans="1:68" x14ac:dyDescent="0.35">
      <c r="A117" s="277" t="s">
        <v>563</v>
      </c>
      <c r="B117" s="277" t="s">
        <v>562</v>
      </c>
      <c r="C117" s="283" t="s">
        <v>274</v>
      </c>
      <c r="D117" s="277" t="s">
        <v>560</v>
      </c>
      <c r="F117" s="277" t="s">
        <v>882</v>
      </c>
      <c r="K117" s="277" t="s">
        <v>819</v>
      </c>
      <c r="L117" s="277" t="s">
        <v>557</v>
      </c>
      <c r="N117" s="277" t="s">
        <v>820</v>
      </c>
      <c r="O117" s="277" t="s">
        <v>819</v>
      </c>
      <c r="P117" s="277" t="s">
        <v>557</v>
      </c>
      <c r="Q117" s="277" t="s">
        <v>556</v>
      </c>
      <c r="R117" s="277" t="s">
        <v>819</v>
      </c>
      <c r="S117" s="276">
        <v>0</v>
      </c>
      <c r="T117" s="276">
        <v>0</v>
      </c>
      <c r="U117" s="276">
        <v>0</v>
      </c>
      <c r="V117" s="276">
        <v>0</v>
      </c>
      <c r="W117" s="276">
        <v>0</v>
      </c>
      <c r="X117" s="276">
        <v>0</v>
      </c>
      <c r="Y117" s="276">
        <v>0</v>
      </c>
      <c r="Z117" s="276">
        <v>0</v>
      </c>
      <c r="AA117" s="276">
        <v>0</v>
      </c>
      <c r="AB117" s="276">
        <v>0</v>
      </c>
      <c r="AC117" s="276"/>
      <c r="AD117" s="276">
        <v>0</v>
      </c>
      <c r="AE117" s="276"/>
      <c r="AF117" s="276">
        <v>0</v>
      </c>
      <c r="AG117" s="276">
        <v>0</v>
      </c>
      <c r="AH117" s="283" t="s">
        <v>86</v>
      </c>
      <c r="AI117" s="282" t="s">
        <v>351</v>
      </c>
      <c r="AJ117" s="281" t="s">
        <v>553</v>
      </c>
      <c r="AK117" s="280" t="s">
        <v>552</v>
      </c>
      <c r="AL117" s="276">
        <v>1.1000000000000001</v>
      </c>
      <c r="AM117" s="279">
        <v>0</v>
      </c>
      <c r="AN117" s="276">
        <v>0</v>
      </c>
      <c r="AO117" s="276">
        <v>1.1000000000000001</v>
      </c>
      <c r="AP117" s="279">
        <v>0</v>
      </c>
      <c r="AQ117" s="276">
        <v>0</v>
      </c>
      <c r="AR117" s="276">
        <v>0</v>
      </c>
      <c r="AS117" s="271">
        <v>2</v>
      </c>
      <c r="AT117" s="276">
        <v>0</v>
      </c>
      <c r="AU117" s="279">
        <v>0</v>
      </c>
      <c r="AV117" s="276">
        <v>0</v>
      </c>
      <c r="AW117" s="276">
        <v>0</v>
      </c>
      <c r="AX117" s="279">
        <v>0</v>
      </c>
      <c r="AY117" s="276">
        <v>0</v>
      </c>
      <c r="AZ117" s="276">
        <v>0</v>
      </c>
      <c r="BA117" s="278" t="s">
        <v>551</v>
      </c>
      <c r="BB117" s="276">
        <v>0</v>
      </c>
      <c r="BC117" s="279">
        <v>0</v>
      </c>
      <c r="BD117" s="276">
        <v>0</v>
      </c>
      <c r="BE117" s="276">
        <v>0</v>
      </c>
      <c r="BF117" s="279">
        <v>0</v>
      </c>
      <c r="BG117" s="276">
        <v>0</v>
      </c>
      <c r="BH117" s="276">
        <v>0</v>
      </c>
      <c r="BI117" s="278" t="s">
        <v>550</v>
      </c>
      <c r="BJ117" s="276">
        <v>0</v>
      </c>
      <c r="BK117" s="276">
        <v>0</v>
      </c>
      <c r="BL117" s="276">
        <v>0</v>
      </c>
      <c r="BM117" s="276">
        <v>0</v>
      </c>
      <c r="BN117" s="276">
        <v>0</v>
      </c>
      <c r="BO117" s="276">
        <v>0</v>
      </c>
      <c r="BP117" s="276">
        <v>0</v>
      </c>
    </row>
    <row r="118" spans="1:68" x14ac:dyDescent="0.35">
      <c r="A118" s="277" t="s">
        <v>563</v>
      </c>
      <c r="B118" s="277" t="s">
        <v>562</v>
      </c>
      <c r="C118" s="283" t="s">
        <v>345</v>
      </c>
      <c r="D118" s="277" t="s">
        <v>560</v>
      </c>
      <c r="F118" s="277" t="s">
        <v>881</v>
      </c>
      <c r="K118" s="277" t="s">
        <v>819</v>
      </c>
      <c r="L118" s="277" t="s">
        <v>557</v>
      </c>
      <c r="N118" s="277" t="s">
        <v>820</v>
      </c>
      <c r="O118" s="277" t="s">
        <v>819</v>
      </c>
      <c r="P118" s="277" t="s">
        <v>557</v>
      </c>
      <c r="Q118" s="277" t="s">
        <v>556</v>
      </c>
      <c r="R118" s="277" t="s">
        <v>819</v>
      </c>
      <c r="S118" s="276">
        <v>0</v>
      </c>
      <c r="T118" s="276">
        <v>0</v>
      </c>
      <c r="U118" s="276">
        <v>0</v>
      </c>
      <c r="V118" s="276">
        <v>0</v>
      </c>
      <c r="W118" s="276">
        <v>0</v>
      </c>
      <c r="X118" s="276">
        <v>0</v>
      </c>
      <c r="Y118" s="276">
        <v>0</v>
      </c>
      <c r="Z118" s="276">
        <v>0</v>
      </c>
      <c r="AA118" s="276">
        <v>0</v>
      </c>
      <c r="AB118" s="276">
        <v>0</v>
      </c>
      <c r="AC118" s="276"/>
      <c r="AD118" s="276">
        <v>0</v>
      </c>
      <c r="AE118" s="276"/>
      <c r="AF118" s="276">
        <v>0</v>
      </c>
      <c r="AG118" s="276">
        <v>0</v>
      </c>
      <c r="AH118" s="283" t="s">
        <v>86</v>
      </c>
      <c r="AI118" s="282" t="s">
        <v>349</v>
      </c>
      <c r="AJ118" s="281" t="s">
        <v>553</v>
      </c>
      <c r="AK118" s="280" t="s">
        <v>552</v>
      </c>
      <c r="AL118" s="276">
        <v>2.08</v>
      </c>
      <c r="AM118" s="279">
        <v>0</v>
      </c>
      <c r="AN118" s="276">
        <v>0</v>
      </c>
      <c r="AO118" s="276">
        <v>2.08</v>
      </c>
      <c r="AP118" s="279">
        <v>0</v>
      </c>
      <c r="AQ118" s="276">
        <v>0</v>
      </c>
      <c r="AR118" s="276">
        <v>0</v>
      </c>
      <c r="AS118" s="271">
        <v>2</v>
      </c>
      <c r="AT118" s="276">
        <v>0</v>
      </c>
      <c r="AU118" s="279">
        <v>0</v>
      </c>
      <c r="AV118" s="276">
        <v>0</v>
      </c>
      <c r="AW118" s="276">
        <v>0</v>
      </c>
      <c r="AX118" s="279">
        <v>0</v>
      </c>
      <c r="AY118" s="276">
        <v>0</v>
      </c>
      <c r="AZ118" s="276">
        <v>0</v>
      </c>
      <c r="BA118" s="278" t="s">
        <v>551</v>
      </c>
      <c r="BB118" s="276">
        <v>0</v>
      </c>
      <c r="BC118" s="279">
        <v>0</v>
      </c>
      <c r="BD118" s="276">
        <v>0</v>
      </c>
      <c r="BE118" s="276">
        <v>0</v>
      </c>
      <c r="BF118" s="279">
        <v>0</v>
      </c>
      <c r="BG118" s="276">
        <v>0</v>
      </c>
      <c r="BH118" s="276">
        <v>0</v>
      </c>
      <c r="BI118" s="278" t="s">
        <v>550</v>
      </c>
      <c r="BJ118" s="276">
        <v>0</v>
      </c>
      <c r="BK118" s="276">
        <v>0</v>
      </c>
      <c r="BL118" s="276">
        <v>0</v>
      </c>
      <c r="BM118" s="276">
        <v>0</v>
      </c>
      <c r="BN118" s="276">
        <v>0</v>
      </c>
      <c r="BO118" s="276">
        <v>0</v>
      </c>
      <c r="BP118" s="276">
        <v>0</v>
      </c>
    </row>
    <row r="119" spans="1:68" x14ac:dyDescent="0.35">
      <c r="A119" s="277" t="s">
        <v>563</v>
      </c>
      <c r="B119" s="277" t="s">
        <v>562</v>
      </c>
      <c r="C119" s="283" t="s">
        <v>273</v>
      </c>
      <c r="D119" s="277" t="s">
        <v>560</v>
      </c>
      <c r="F119" s="277" t="s">
        <v>880</v>
      </c>
      <c r="K119" s="277" t="s">
        <v>819</v>
      </c>
      <c r="L119" s="277" t="s">
        <v>557</v>
      </c>
      <c r="N119" s="277" t="s">
        <v>820</v>
      </c>
      <c r="O119" s="277" t="s">
        <v>819</v>
      </c>
      <c r="P119" s="277" t="s">
        <v>557</v>
      </c>
      <c r="Q119" s="277" t="s">
        <v>556</v>
      </c>
      <c r="R119" s="277" t="s">
        <v>819</v>
      </c>
      <c r="S119" s="276">
        <v>0</v>
      </c>
      <c r="T119" s="276">
        <v>0</v>
      </c>
      <c r="U119" s="276">
        <v>0</v>
      </c>
      <c r="V119" s="276">
        <v>0</v>
      </c>
      <c r="W119" s="276">
        <v>0</v>
      </c>
      <c r="X119" s="276">
        <v>0</v>
      </c>
      <c r="Y119" s="276">
        <v>0</v>
      </c>
      <c r="Z119" s="276">
        <v>0</v>
      </c>
      <c r="AA119" s="276">
        <v>0</v>
      </c>
      <c r="AB119" s="276">
        <v>0</v>
      </c>
      <c r="AC119" s="276"/>
      <c r="AD119" s="276">
        <v>0</v>
      </c>
      <c r="AE119" s="276"/>
      <c r="AF119" s="276">
        <v>0</v>
      </c>
      <c r="AG119" s="276">
        <v>0</v>
      </c>
      <c r="AH119" s="283" t="s">
        <v>86</v>
      </c>
      <c r="AI119" s="282" t="s">
        <v>353</v>
      </c>
      <c r="AJ119" s="281" t="s">
        <v>553</v>
      </c>
      <c r="AK119" s="280" t="s">
        <v>552</v>
      </c>
      <c r="AL119" s="276">
        <v>1.1599999999999999</v>
      </c>
      <c r="AM119" s="279">
        <v>0</v>
      </c>
      <c r="AN119" s="276">
        <v>0</v>
      </c>
      <c r="AO119" s="276">
        <v>1.1599999999999999</v>
      </c>
      <c r="AP119" s="279">
        <v>0</v>
      </c>
      <c r="AQ119" s="276">
        <v>0</v>
      </c>
      <c r="AR119" s="276">
        <v>0</v>
      </c>
      <c r="AS119" s="271">
        <v>2</v>
      </c>
      <c r="AT119" s="276">
        <v>0</v>
      </c>
      <c r="AU119" s="279">
        <v>0</v>
      </c>
      <c r="AV119" s="276">
        <v>0</v>
      </c>
      <c r="AW119" s="276">
        <v>0</v>
      </c>
      <c r="AX119" s="279">
        <v>0</v>
      </c>
      <c r="AY119" s="276">
        <v>0</v>
      </c>
      <c r="AZ119" s="276">
        <v>0</v>
      </c>
      <c r="BA119" s="278" t="s">
        <v>551</v>
      </c>
      <c r="BB119" s="276">
        <v>0</v>
      </c>
      <c r="BC119" s="279">
        <v>0</v>
      </c>
      <c r="BD119" s="276">
        <v>0</v>
      </c>
      <c r="BE119" s="276">
        <v>0</v>
      </c>
      <c r="BF119" s="279">
        <v>0</v>
      </c>
      <c r="BG119" s="276">
        <v>0</v>
      </c>
      <c r="BH119" s="276">
        <v>0</v>
      </c>
      <c r="BI119" s="278" t="s">
        <v>550</v>
      </c>
      <c r="BJ119" s="276">
        <v>0</v>
      </c>
      <c r="BK119" s="276">
        <v>0</v>
      </c>
      <c r="BL119" s="276">
        <v>0</v>
      </c>
      <c r="BM119" s="276">
        <v>0</v>
      </c>
      <c r="BN119" s="276">
        <v>0</v>
      </c>
      <c r="BO119" s="276">
        <v>0</v>
      </c>
      <c r="BP119" s="276">
        <v>0</v>
      </c>
    </row>
    <row r="120" spans="1:68" x14ac:dyDescent="0.35">
      <c r="A120" s="277" t="s">
        <v>563</v>
      </c>
      <c r="B120" s="277" t="s">
        <v>562</v>
      </c>
      <c r="C120" s="283" t="s">
        <v>351</v>
      </c>
      <c r="D120" s="277" t="s">
        <v>560</v>
      </c>
      <c r="F120" s="277" t="s">
        <v>879</v>
      </c>
      <c r="K120" s="277" t="s">
        <v>819</v>
      </c>
      <c r="L120" s="277" t="s">
        <v>557</v>
      </c>
      <c r="N120" s="277" t="s">
        <v>820</v>
      </c>
      <c r="O120" s="277" t="s">
        <v>819</v>
      </c>
      <c r="P120" s="277" t="s">
        <v>557</v>
      </c>
      <c r="Q120" s="277" t="s">
        <v>556</v>
      </c>
      <c r="R120" s="277" t="s">
        <v>819</v>
      </c>
      <c r="S120" s="276">
        <v>0</v>
      </c>
      <c r="T120" s="276">
        <v>0</v>
      </c>
      <c r="U120" s="276">
        <v>0</v>
      </c>
      <c r="V120" s="276">
        <v>0</v>
      </c>
      <c r="W120" s="276">
        <v>0</v>
      </c>
      <c r="X120" s="276">
        <v>0</v>
      </c>
      <c r="Y120" s="276">
        <v>0</v>
      </c>
      <c r="Z120" s="276">
        <v>0</v>
      </c>
      <c r="AA120" s="276">
        <v>0</v>
      </c>
      <c r="AB120" s="276">
        <v>0</v>
      </c>
      <c r="AC120" s="276"/>
      <c r="AD120" s="276">
        <v>0</v>
      </c>
      <c r="AE120" s="276"/>
      <c r="AF120" s="276">
        <v>0</v>
      </c>
      <c r="AG120" s="276">
        <v>0</v>
      </c>
      <c r="AH120" s="283" t="s">
        <v>483</v>
      </c>
      <c r="AJ120" s="281" t="s">
        <v>553</v>
      </c>
      <c r="AK120" s="280" t="s">
        <v>552</v>
      </c>
      <c r="AL120" s="276">
        <v>0.73</v>
      </c>
      <c r="AM120" s="279">
        <v>0</v>
      </c>
      <c r="AN120" s="276">
        <v>0</v>
      </c>
      <c r="AO120" s="276">
        <v>0.73</v>
      </c>
      <c r="AP120" s="279">
        <v>0</v>
      </c>
      <c r="AQ120" s="276">
        <v>0</v>
      </c>
      <c r="AR120" s="276">
        <v>0</v>
      </c>
      <c r="AS120" s="271">
        <v>2</v>
      </c>
      <c r="AT120" s="276">
        <v>0</v>
      </c>
      <c r="AU120" s="279">
        <v>0</v>
      </c>
      <c r="AV120" s="276">
        <v>0</v>
      </c>
      <c r="AW120" s="276">
        <v>0</v>
      </c>
      <c r="AX120" s="279">
        <v>0</v>
      </c>
      <c r="AY120" s="276">
        <v>0</v>
      </c>
      <c r="AZ120" s="276">
        <v>0</v>
      </c>
      <c r="BA120" s="278" t="s">
        <v>551</v>
      </c>
      <c r="BB120" s="276">
        <v>0</v>
      </c>
      <c r="BC120" s="279">
        <v>0</v>
      </c>
      <c r="BD120" s="276">
        <v>0</v>
      </c>
      <c r="BE120" s="276">
        <v>0</v>
      </c>
      <c r="BF120" s="279">
        <v>0</v>
      </c>
      <c r="BG120" s="276">
        <v>0</v>
      </c>
      <c r="BH120" s="276">
        <v>0</v>
      </c>
      <c r="BI120" s="278" t="s">
        <v>550</v>
      </c>
      <c r="BJ120" s="276">
        <v>0</v>
      </c>
      <c r="BK120" s="276">
        <v>0</v>
      </c>
      <c r="BL120" s="276">
        <v>0</v>
      </c>
      <c r="BM120" s="276">
        <v>0</v>
      </c>
      <c r="BN120" s="276">
        <v>0</v>
      </c>
      <c r="BO120" s="276">
        <v>0</v>
      </c>
      <c r="BP120" s="276">
        <v>0</v>
      </c>
    </row>
    <row r="121" spans="1:68" x14ac:dyDescent="0.35">
      <c r="A121" s="277" t="s">
        <v>563</v>
      </c>
      <c r="B121" s="277" t="s">
        <v>562</v>
      </c>
      <c r="C121" s="283" t="s">
        <v>349</v>
      </c>
      <c r="D121" s="277" t="s">
        <v>560</v>
      </c>
      <c r="F121" s="277" t="s">
        <v>878</v>
      </c>
      <c r="K121" s="277" t="s">
        <v>819</v>
      </c>
      <c r="L121" s="277" t="s">
        <v>557</v>
      </c>
      <c r="N121" s="277" t="s">
        <v>820</v>
      </c>
      <c r="O121" s="277" t="s">
        <v>819</v>
      </c>
      <c r="P121" s="277" t="s">
        <v>557</v>
      </c>
      <c r="Q121" s="277" t="s">
        <v>556</v>
      </c>
      <c r="R121" s="277" t="s">
        <v>819</v>
      </c>
      <c r="S121" s="276">
        <v>0</v>
      </c>
      <c r="T121" s="276">
        <v>0</v>
      </c>
      <c r="U121" s="276">
        <v>0</v>
      </c>
      <c r="V121" s="276">
        <v>0</v>
      </c>
      <c r="W121" s="276">
        <v>0</v>
      </c>
      <c r="X121" s="276">
        <v>0</v>
      </c>
      <c r="Y121" s="276">
        <v>0</v>
      </c>
      <c r="Z121" s="276">
        <v>0</v>
      </c>
      <c r="AA121" s="276">
        <v>0</v>
      </c>
      <c r="AB121" s="276">
        <v>0</v>
      </c>
      <c r="AC121" s="276"/>
      <c r="AD121" s="276">
        <v>0</v>
      </c>
      <c r="AE121" s="276"/>
      <c r="AF121" s="276">
        <v>0</v>
      </c>
      <c r="AG121" s="276">
        <v>0</v>
      </c>
      <c r="AH121" s="283" t="s">
        <v>483</v>
      </c>
      <c r="AJ121" s="281" t="s">
        <v>553</v>
      </c>
      <c r="AK121" s="280" t="s">
        <v>552</v>
      </c>
      <c r="AL121" s="276">
        <v>1.2</v>
      </c>
      <c r="AM121" s="279">
        <v>0</v>
      </c>
      <c r="AN121" s="276">
        <v>0</v>
      </c>
      <c r="AO121" s="276">
        <v>1.2</v>
      </c>
      <c r="AP121" s="279">
        <v>0</v>
      </c>
      <c r="AQ121" s="276">
        <v>0</v>
      </c>
      <c r="AR121" s="276">
        <v>0</v>
      </c>
      <c r="AS121" s="271">
        <v>2</v>
      </c>
      <c r="AT121" s="276">
        <v>0</v>
      </c>
      <c r="AU121" s="279">
        <v>0</v>
      </c>
      <c r="AV121" s="276">
        <v>0</v>
      </c>
      <c r="AW121" s="276">
        <v>0</v>
      </c>
      <c r="AX121" s="279">
        <v>0</v>
      </c>
      <c r="AY121" s="276">
        <v>0</v>
      </c>
      <c r="AZ121" s="276">
        <v>0</v>
      </c>
      <c r="BA121" s="278" t="s">
        <v>551</v>
      </c>
      <c r="BB121" s="276">
        <v>0</v>
      </c>
      <c r="BC121" s="279">
        <v>0</v>
      </c>
      <c r="BD121" s="276">
        <v>0</v>
      </c>
      <c r="BE121" s="276">
        <v>0</v>
      </c>
      <c r="BF121" s="279">
        <v>0</v>
      </c>
      <c r="BG121" s="276">
        <v>0</v>
      </c>
      <c r="BH121" s="276">
        <v>0</v>
      </c>
      <c r="BI121" s="278" t="s">
        <v>550</v>
      </c>
      <c r="BJ121" s="276">
        <v>0</v>
      </c>
      <c r="BK121" s="276">
        <v>0</v>
      </c>
      <c r="BL121" s="276">
        <v>0</v>
      </c>
      <c r="BM121" s="276">
        <v>0</v>
      </c>
      <c r="BN121" s="276">
        <v>0</v>
      </c>
      <c r="BO121" s="276">
        <v>0</v>
      </c>
      <c r="BP121" s="276">
        <v>0</v>
      </c>
    </row>
    <row r="122" spans="1:68" x14ac:dyDescent="0.35">
      <c r="A122" s="277" t="s">
        <v>563</v>
      </c>
      <c r="B122" s="277" t="s">
        <v>562</v>
      </c>
      <c r="C122" s="283" t="s">
        <v>353</v>
      </c>
      <c r="D122" s="277" t="s">
        <v>560</v>
      </c>
      <c r="F122" s="277" t="s">
        <v>877</v>
      </c>
      <c r="K122" s="277" t="s">
        <v>819</v>
      </c>
      <c r="L122" s="277" t="s">
        <v>557</v>
      </c>
      <c r="N122" s="277" t="s">
        <v>820</v>
      </c>
      <c r="O122" s="277" t="s">
        <v>819</v>
      </c>
      <c r="P122" s="277" t="s">
        <v>557</v>
      </c>
      <c r="Q122" s="277" t="s">
        <v>556</v>
      </c>
      <c r="R122" s="277" t="s">
        <v>819</v>
      </c>
      <c r="S122" s="276">
        <v>0</v>
      </c>
      <c r="T122" s="276">
        <v>0</v>
      </c>
      <c r="U122" s="276">
        <v>0</v>
      </c>
      <c r="V122" s="276">
        <v>0</v>
      </c>
      <c r="W122" s="276">
        <v>0</v>
      </c>
      <c r="X122" s="276">
        <v>0</v>
      </c>
      <c r="Y122" s="276">
        <v>0</v>
      </c>
      <c r="Z122" s="276">
        <v>0</v>
      </c>
      <c r="AA122" s="276">
        <v>0</v>
      </c>
      <c r="AB122" s="276">
        <v>0</v>
      </c>
      <c r="AC122" s="276"/>
      <c r="AD122" s="276">
        <v>0</v>
      </c>
      <c r="AE122" s="276"/>
      <c r="AF122" s="276">
        <v>0</v>
      </c>
      <c r="AG122" s="276">
        <v>0</v>
      </c>
      <c r="AH122" s="283" t="s">
        <v>483</v>
      </c>
      <c r="AJ122" s="281" t="s">
        <v>553</v>
      </c>
      <c r="AK122" s="280" t="s">
        <v>552</v>
      </c>
      <c r="AL122" s="276">
        <v>0.81</v>
      </c>
      <c r="AM122" s="279">
        <v>0</v>
      </c>
      <c r="AN122" s="276">
        <v>0</v>
      </c>
      <c r="AO122" s="276">
        <v>0.81</v>
      </c>
      <c r="AP122" s="279">
        <v>0</v>
      </c>
      <c r="AQ122" s="276">
        <v>0</v>
      </c>
      <c r="AR122" s="276">
        <v>0</v>
      </c>
      <c r="AS122" s="271">
        <v>2</v>
      </c>
      <c r="AT122" s="276">
        <v>0</v>
      </c>
      <c r="AU122" s="279">
        <v>0</v>
      </c>
      <c r="AV122" s="276">
        <v>0</v>
      </c>
      <c r="AW122" s="276">
        <v>0</v>
      </c>
      <c r="AX122" s="279">
        <v>0</v>
      </c>
      <c r="AY122" s="276">
        <v>0</v>
      </c>
      <c r="AZ122" s="276">
        <v>0</v>
      </c>
      <c r="BA122" s="278" t="s">
        <v>551</v>
      </c>
      <c r="BB122" s="276">
        <v>0</v>
      </c>
      <c r="BC122" s="279">
        <v>0</v>
      </c>
      <c r="BD122" s="276">
        <v>0</v>
      </c>
      <c r="BE122" s="276">
        <v>0</v>
      </c>
      <c r="BF122" s="279">
        <v>0</v>
      </c>
      <c r="BG122" s="276">
        <v>0</v>
      </c>
      <c r="BH122" s="276">
        <v>0</v>
      </c>
      <c r="BI122" s="278" t="s">
        <v>550</v>
      </c>
      <c r="BJ122" s="276">
        <v>0</v>
      </c>
      <c r="BK122" s="276">
        <v>0</v>
      </c>
      <c r="BL122" s="276">
        <v>0</v>
      </c>
      <c r="BM122" s="276">
        <v>0</v>
      </c>
      <c r="BN122" s="276">
        <v>0</v>
      </c>
      <c r="BO122" s="276">
        <v>0</v>
      </c>
      <c r="BP122" s="276">
        <v>0</v>
      </c>
    </row>
    <row r="123" spans="1:68" x14ac:dyDescent="0.35">
      <c r="A123" s="277" t="s">
        <v>563</v>
      </c>
      <c r="B123" s="277" t="s">
        <v>562</v>
      </c>
      <c r="C123" s="283" t="s">
        <v>392</v>
      </c>
      <c r="D123" s="277" t="s">
        <v>560</v>
      </c>
      <c r="F123" s="277" t="s">
        <v>876</v>
      </c>
      <c r="K123" s="277" t="s">
        <v>819</v>
      </c>
      <c r="L123" s="277" t="s">
        <v>557</v>
      </c>
      <c r="N123" s="277" t="s">
        <v>820</v>
      </c>
      <c r="O123" s="277" t="s">
        <v>819</v>
      </c>
      <c r="P123" s="277" t="s">
        <v>557</v>
      </c>
      <c r="Q123" s="277" t="s">
        <v>556</v>
      </c>
      <c r="R123" s="277" t="s">
        <v>819</v>
      </c>
      <c r="S123" s="276">
        <v>323.39999999999998</v>
      </c>
      <c r="T123" s="276">
        <v>0</v>
      </c>
      <c r="U123" s="276">
        <v>0</v>
      </c>
      <c r="V123" s="276">
        <v>0</v>
      </c>
      <c r="W123" s="276">
        <v>0</v>
      </c>
      <c r="X123" s="276">
        <v>0</v>
      </c>
      <c r="Y123" s="276">
        <v>0</v>
      </c>
      <c r="Z123" s="276">
        <v>0</v>
      </c>
      <c r="AA123" s="276">
        <v>0</v>
      </c>
      <c r="AB123" s="276">
        <v>0</v>
      </c>
      <c r="AC123" s="276"/>
      <c r="AD123" s="276">
        <v>0</v>
      </c>
      <c r="AE123" s="276"/>
      <c r="AF123" s="276">
        <v>0</v>
      </c>
      <c r="AG123" s="276">
        <v>0</v>
      </c>
      <c r="AH123" s="283" t="s">
        <v>483</v>
      </c>
      <c r="AJ123" s="281" t="s">
        <v>553</v>
      </c>
      <c r="AK123" s="280" t="s">
        <v>552</v>
      </c>
      <c r="AL123" s="276">
        <v>0</v>
      </c>
      <c r="AM123" s="279">
        <v>0</v>
      </c>
      <c r="AN123" s="276">
        <v>0</v>
      </c>
      <c r="AO123" s="276">
        <v>0</v>
      </c>
      <c r="AP123" s="279">
        <v>0</v>
      </c>
      <c r="AQ123" s="276">
        <v>0</v>
      </c>
      <c r="AR123" s="276">
        <v>0</v>
      </c>
      <c r="AS123" s="271">
        <v>2</v>
      </c>
      <c r="AT123" s="276">
        <v>0</v>
      </c>
      <c r="AU123" s="279">
        <v>0</v>
      </c>
      <c r="AV123" s="276">
        <v>0</v>
      </c>
      <c r="AW123" s="276">
        <v>0</v>
      </c>
      <c r="AX123" s="279">
        <v>0</v>
      </c>
      <c r="AY123" s="276">
        <v>0</v>
      </c>
      <c r="AZ123" s="276">
        <v>0</v>
      </c>
      <c r="BA123" s="278" t="s">
        <v>551</v>
      </c>
      <c r="BB123" s="276">
        <v>0</v>
      </c>
      <c r="BC123" s="279">
        <v>0</v>
      </c>
      <c r="BD123" s="276">
        <v>0</v>
      </c>
      <c r="BE123" s="276">
        <v>0</v>
      </c>
      <c r="BF123" s="279">
        <v>0</v>
      </c>
      <c r="BG123" s="276">
        <v>0</v>
      </c>
      <c r="BH123" s="276">
        <v>0</v>
      </c>
      <c r="BI123" s="278" t="s">
        <v>550</v>
      </c>
      <c r="BJ123" s="276">
        <v>0</v>
      </c>
      <c r="BK123" s="276">
        <v>0</v>
      </c>
      <c r="BL123" s="276">
        <v>0</v>
      </c>
      <c r="BM123" s="276">
        <v>0</v>
      </c>
      <c r="BN123" s="276">
        <v>0</v>
      </c>
      <c r="BO123" s="276">
        <v>0</v>
      </c>
      <c r="BP123" s="276">
        <v>0</v>
      </c>
    </row>
    <row r="124" spans="1:68" x14ac:dyDescent="0.35">
      <c r="A124" s="277" t="s">
        <v>563</v>
      </c>
      <c r="B124" s="277" t="s">
        <v>562</v>
      </c>
      <c r="C124" s="283" t="s">
        <v>401</v>
      </c>
      <c r="D124" s="277" t="s">
        <v>560</v>
      </c>
      <c r="F124" s="277" t="s">
        <v>875</v>
      </c>
      <c r="K124" s="277" t="s">
        <v>819</v>
      </c>
      <c r="L124" s="277" t="s">
        <v>557</v>
      </c>
      <c r="N124" s="277" t="s">
        <v>820</v>
      </c>
      <c r="O124" s="277" t="s">
        <v>819</v>
      </c>
      <c r="P124" s="277" t="s">
        <v>557</v>
      </c>
      <c r="Q124" s="277" t="s">
        <v>556</v>
      </c>
      <c r="R124" s="277" t="s">
        <v>819</v>
      </c>
      <c r="S124" s="276">
        <v>107.8</v>
      </c>
      <c r="T124" s="276">
        <v>0</v>
      </c>
      <c r="U124" s="276">
        <v>0</v>
      </c>
      <c r="V124" s="276">
        <v>0</v>
      </c>
      <c r="W124" s="276">
        <v>0</v>
      </c>
      <c r="X124" s="276">
        <v>0</v>
      </c>
      <c r="Y124" s="276">
        <v>0</v>
      </c>
      <c r="Z124" s="276">
        <v>0</v>
      </c>
      <c r="AA124" s="276">
        <v>0</v>
      </c>
      <c r="AB124" s="276">
        <v>0</v>
      </c>
      <c r="AC124" s="276"/>
      <c r="AD124" s="276">
        <v>0</v>
      </c>
      <c r="AE124" s="276"/>
      <c r="AF124" s="276">
        <v>0</v>
      </c>
      <c r="AG124" s="276">
        <v>0</v>
      </c>
      <c r="AH124" s="283" t="s">
        <v>483</v>
      </c>
      <c r="AJ124" s="281" t="s">
        <v>553</v>
      </c>
      <c r="AK124" s="280" t="s">
        <v>552</v>
      </c>
      <c r="AL124" s="276">
        <v>0</v>
      </c>
      <c r="AM124" s="279">
        <v>0</v>
      </c>
      <c r="AN124" s="276">
        <v>0</v>
      </c>
      <c r="AO124" s="276">
        <v>0</v>
      </c>
      <c r="AP124" s="279">
        <v>0</v>
      </c>
      <c r="AQ124" s="276">
        <v>0</v>
      </c>
      <c r="AR124" s="276">
        <v>0</v>
      </c>
      <c r="AS124" s="271">
        <v>2</v>
      </c>
      <c r="AT124" s="276">
        <v>0</v>
      </c>
      <c r="AU124" s="279">
        <v>0</v>
      </c>
      <c r="AV124" s="276">
        <v>0</v>
      </c>
      <c r="AW124" s="276">
        <v>0</v>
      </c>
      <c r="AX124" s="279">
        <v>0</v>
      </c>
      <c r="AY124" s="276">
        <v>0</v>
      </c>
      <c r="AZ124" s="276">
        <v>0</v>
      </c>
      <c r="BA124" s="278" t="s">
        <v>551</v>
      </c>
      <c r="BB124" s="276">
        <v>0</v>
      </c>
      <c r="BC124" s="279">
        <v>0</v>
      </c>
      <c r="BD124" s="276">
        <v>0</v>
      </c>
      <c r="BE124" s="276">
        <v>0</v>
      </c>
      <c r="BF124" s="279">
        <v>0</v>
      </c>
      <c r="BG124" s="276">
        <v>0</v>
      </c>
      <c r="BH124" s="276">
        <v>0</v>
      </c>
      <c r="BI124" s="278" t="s">
        <v>550</v>
      </c>
      <c r="BJ124" s="276">
        <v>0</v>
      </c>
      <c r="BK124" s="276">
        <v>0</v>
      </c>
      <c r="BL124" s="276">
        <v>0</v>
      </c>
      <c r="BM124" s="276">
        <v>0</v>
      </c>
      <c r="BN124" s="276">
        <v>0</v>
      </c>
      <c r="BO124" s="276">
        <v>0</v>
      </c>
      <c r="BP124" s="276">
        <v>0</v>
      </c>
    </row>
    <row r="125" spans="1:68" x14ac:dyDescent="0.35">
      <c r="A125" s="277" t="s">
        <v>563</v>
      </c>
      <c r="B125" s="277" t="s">
        <v>562</v>
      </c>
      <c r="C125" s="283" t="s">
        <v>411</v>
      </c>
      <c r="D125" s="277" t="s">
        <v>560</v>
      </c>
      <c r="F125" s="277" t="s">
        <v>874</v>
      </c>
      <c r="K125" s="277" t="s">
        <v>819</v>
      </c>
      <c r="L125" s="277" t="s">
        <v>557</v>
      </c>
      <c r="N125" s="277" t="s">
        <v>820</v>
      </c>
      <c r="O125" s="277" t="s">
        <v>819</v>
      </c>
      <c r="P125" s="277" t="s">
        <v>557</v>
      </c>
      <c r="Q125" s="277" t="s">
        <v>556</v>
      </c>
      <c r="R125" s="277" t="s">
        <v>819</v>
      </c>
      <c r="S125" s="276">
        <v>0</v>
      </c>
      <c r="T125" s="276">
        <v>0</v>
      </c>
      <c r="U125" s="276">
        <v>0</v>
      </c>
      <c r="V125" s="276">
        <v>0</v>
      </c>
      <c r="W125" s="276">
        <v>0</v>
      </c>
      <c r="X125" s="276">
        <v>0</v>
      </c>
      <c r="Y125" s="276">
        <v>0</v>
      </c>
      <c r="Z125" s="276">
        <v>0</v>
      </c>
      <c r="AA125" s="276">
        <v>0</v>
      </c>
      <c r="AB125" s="276">
        <v>0</v>
      </c>
      <c r="AC125" s="276"/>
      <c r="AD125" s="276">
        <v>0</v>
      </c>
      <c r="AE125" s="276"/>
      <c r="AF125" s="276">
        <v>0</v>
      </c>
      <c r="AG125" s="276">
        <v>0</v>
      </c>
      <c r="AH125" s="283" t="s">
        <v>86</v>
      </c>
      <c r="AI125" s="282" t="s">
        <v>403</v>
      </c>
      <c r="AJ125" s="281" t="s">
        <v>553</v>
      </c>
      <c r="AK125" s="280" t="s">
        <v>552</v>
      </c>
      <c r="AL125" s="276">
        <v>2.93</v>
      </c>
      <c r="AM125" s="279">
        <v>0</v>
      </c>
      <c r="AN125" s="276">
        <v>0</v>
      </c>
      <c r="AO125" s="276">
        <v>2.93</v>
      </c>
      <c r="AP125" s="279">
        <v>0</v>
      </c>
      <c r="AQ125" s="276">
        <v>0</v>
      </c>
      <c r="AR125" s="276">
        <v>0</v>
      </c>
      <c r="AS125" s="271">
        <v>2</v>
      </c>
      <c r="AT125" s="276">
        <v>0</v>
      </c>
      <c r="AU125" s="279">
        <v>0</v>
      </c>
      <c r="AV125" s="276">
        <v>0</v>
      </c>
      <c r="AW125" s="276">
        <v>0</v>
      </c>
      <c r="AX125" s="279">
        <v>0</v>
      </c>
      <c r="AY125" s="276">
        <v>0</v>
      </c>
      <c r="AZ125" s="276">
        <v>0</v>
      </c>
      <c r="BA125" s="278" t="s">
        <v>551</v>
      </c>
      <c r="BB125" s="276">
        <v>0</v>
      </c>
      <c r="BC125" s="279">
        <v>0</v>
      </c>
      <c r="BD125" s="276">
        <v>0</v>
      </c>
      <c r="BE125" s="276">
        <v>0</v>
      </c>
      <c r="BF125" s="279">
        <v>0</v>
      </c>
      <c r="BG125" s="276">
        <v>0</v>
      </c>
      <c r="BH125" s="276">
        <v>0</v>
      </c>
      <c r="BI125" s="278" t="s">
        <v>550</v>
      </c>
      <c r="BJ125" s="276">
        <v>0</v>
      </c>
      <c r="BK125" s="276">
        <v>0</v>
      </c>
      <c r="BL125" s="276">
        <v>0</v>
      </c>
      <c r="BM125" s="276">
        <v>0</v>
      </c>
      <c r="BN125" s="276">
        <v>0</v>
      </c>
      <c r="BO125" s="276">
        <v>0</v>
      </c>
      <c r="BP125" s="276">
        <v>0</v>
      </c>
    </row>
    <row r="126" spans="1:68" x14ac:dyDescent="0.35">
      <c r="A126" s="277" t="s">
        <v>563</v>
      </c>
      <c r="B126" s="277" t="s">
        <v>562</v>
      </c>
      <c r="C126" s="283" t="s">
        <v>413</v>
      </c>
      <c r="D126" s="277" t="s">
        <v>560</v>
      </c>
      <c r="F126" s="277" t="s">
        <v>873</v>
      </c>
      <c r="K126" s="277" t="s">
        <v>819</v>
      </c>
      <c r="L126" s="277" t="s">
        <v>557</v>
      </c>
      <c r="N126" s="277" t="s">
        <v>820</v>
      </c>
      <c r="O126" s="277" t="s">
        <v>819</v>
      </c>
      <c r="P126" s="277" t="s">
        <v>557</v>
      </c>
      <c r="Q126" s="277" t="s">
        <v>556</v>
      </c>
      <c r="R126" s="277" t="s">
        <v>819</v>
      </c>
      <c r="S126" s="276">
        <v>0</v>
      </c>
      <c r="T126" s="276">
        <v>0</v>
      </c>
      <c r="U126" s="276">
        <v>0</v>
      </c>
      <c r="V126" s="276">
        <v>0</v>
      </c>
      <c r="W126" s="276">
        <v>0</v>
      </c>
      <c r="X126" s="276">
        <v>0</v>
      </c>
      <c r="Y126" s="276">
        <v>0</v>
      </c>
      <c r="Z126" s="276">
        <v>0</v>
      </c>
      <c r="AA126" s="276">
        <v>0</v>
      </c>
      <c r="AB126" s="276">
        <v>0</v>
      </c>
      <c r="AC126" s="276"/>
      <c r="AD126" s="276">
        <v>0</v>
      </c>
      <c r="AE126" s="276"/>
      <c r="AF126" s="276">
        <v>0</v>
      </c>
      <c r="AG126" s="276">
        <v>0</v>
      </c>
      <c r="AH126" s="283" t="s">
        <v>86</v>
      </c>
      <c r="AI126" s="282" t="s">
        <v>405</v>
      </c>
      <c r="AJ126" s="281" t="s">
        <v>553</v>
      </c>
      <c r="AK126" s="280" t="s">
        <v>552</v>
      </c>
      <c r="AL126" s="276">
        <v>1.5</v>
      </c>
      <c r="AM126" s="279">
        <v>0</v>
      </c>
      <c r="AN126" s="276">
        <v>0</v>
      </c>
      <c r="AO126" s="276">
        <v>1.5</v>
      </c>
      <c r="AP126" s="279">
        <v>0</v>
      </c>
      <c r="AQ126" s="276">
        <v>0</v>
      </c>
      <c r="AR126" s="276">
        <v>0</v>
      </c>
      <c r="AS126" s="271">
        <v>2</v>
      </c>
      <c r="AT126" s="276">
        <v>0</v>
      </c>
      <c r="AU126" s="279">
        <v>0</v>
      </c>
      <c r="AV126" s="276">
        <v>0</v>
      </c>
      <c r="AW126" s="276">
        <v>0</v>
      </c>
      <c r="AX126" s="279">
        <v>0</v>
      </c>
      <c r="AY126" s="276">
        <v>0</v>
      </c>
      <c r="AZ126" s="276">
        <v>0</v>
      </c>
      <c r="BA126" s="278" t="s">
        <v>551</v>
      </c>
      <c r="BB126" s="276">
        <v>0</v>
      </c>
      <c r="BC126" s="279">
        <v>0</v>
      </c>
      <c r="BD126" s="276">
        <v>0</v>
      </c>
      <c r="BE126" s="276">
        <v>0</v>
      </c>
      <c r="BF126" s="279">
        <v>0</v>
      </c>
      <c r="BG126" s="276">
        <v>0</v>
      </c>
      <c r="BH126" s="276">
        <v>0</v>
      </c>
      <c r="BI126" s="278" t="s">
        <v>550</v>
      </c>
      <c r="BJ126" s="276">
        <v>0</v>
      </c>
      <c r="BK126" s="276">
        <v>0</v>
      </c>
      <c r="BL126" s="276">
        <v>0</v>
      </c>
      <c r="BM126" s="276">
        <v>0</v>
      </c>
      <c r="BN126" s="276">
        <v>0</v>
      </c>
      <c r="BO126" s="276">
        <v>0</v>
      </c>
      <c r="BP126" s="276">
        <v>0</v>
      </c>
    </row>
    <row r="127" spans="1:68" x14ac:dyDescent="0.35">
      <c r="A127" s="277" t="s">
        <v>563</v>
      </c>
      <c r="B127" s="277" t="s">
        <v>562</v>
      </c>
      <c r="C127" s="283" t="s">
        <v>407</v>
      </c>
      <c r="D127" s="277" t="s">
        <v>560</v>
      </c>
      <c r="F127" s="277" t="s">
        <v>872</v>
      </c>
      <c r="K127" s="277" t="s">
        <v>819</v>
      </c>
      <c r="L127" s="277" t="s">
        <v>557</v>
      </c>
      <c r="N127" s="277" t="s">
        <v>820</v>
      </c>
      <c r="O127" s="277" t="s">
        <v>819</v>
      </c>
      <c r="P127" s="277" t="s">
        <v>557</v>
      </c>
      <c r="Q127" s="277" t="s">
        <v>556</v>
      </c>
      <c r="R127" s="277" t="s">
        <v>819</v>
      </c>
      <c r="S127" s="276">
        <v>0</v>
      </c>
      <c r="T127" s="276">
        <v>0</v>
      </c>
      <c r="U127" s="276">
        <v>0</v>
      </c>
      <c r="V127" s="276">
        <v>0</v>
      </c>
      <c r="W127" s="276">
        <v>0</v>
      </c>
      <c r="X127" s="276">
        <v>0</v>
      </c>
      <c r="Y127" s="276">
        <v>0</v>
      </c>
      <c r="Z127" s="276">
        <v>0</v>
      </c>
      <c r="AA127" s="276">
        <v>0</v>
      </c>
      <c r="AB127" s="276">
        <v>0</v>
      </c>
      <c r="AC127" s="276"/>
      <c r="AD127" s="276">
        <v>0</v>
      </c>
      <c r="AE127" s="276"/>
      <c r="AF127" s="276">
        <v>0</v>
      </c>
      <c r="AG127" s="276">
        <v>0</v>
      </c>
      <c r="AH127" s="283" t="s">
        <v>483</v>
      </c>
      <c r="AJ127" s="281" t="s">
        <v>553</v>
      </c>
      <c r="AK127" s="280" t="s">
        <v>552</v>
      </c>
      <c r="AL127" s="276">
        <v>0.8</v>
      </c>
      <c r="AM127" s="279">
        <v>0</v>
      </c>
      <c r="AN127" s="276">
        <v>0</v>
      </c>
      <c r="AO127" s="276">
        <v>0.8</v>
      </c>
      <c r="AP127" s="279">
        <v>0</v>
      </c>
      <c r="AQ127" s="276">
        <v>0</v>
      </c>
      <c r="AR127" s="276">
        <v>0</v>
      </c>
      <c r="AS127" s="271">
        <v>2</v>
      </c>
      <c r="AT127" s="276">
        <v>0</v>
      </c>
      <c r="AU127" s="279">
        <v>0</v>
      </c>
      <c r="AV127" s="276">
        <v>0</v>
      </c>
      <c r="AW127" s="276">
        <v>0</v>
      </c>
      <c r="AX127" s="279">
        <v>0</v>
      </c>
      <c r="AY127" s="276">
        <v>0</v>
      </c>
      <c r="AZ127" s="276">
        <v>0</v>
      </c>
      <c r="BA127" s="278" t="s">
        <v>551</v>
      </c>
      <c r="BB127" s="276">
        <v>0</v>
      </c>
      <c r="BC127" s="279">
        <v>0</v>
      </c>
      <c r="BD127" s="276">
        <v>0</v>
      </c>
      <c r="BE127" s="276">
        <v>0</v>
      </c>
      <c r="BF127" s="279">
        <v>0</v>
      </c>
      <c r="BG127" s="276">
        <v>0</v>
      </c>
      <c r="BH127" s="276">
        <v>0</v>
      </c>
      <c r="BI127" s="278" t="s">
        <v>550</v>
      </c>
      <c r="BJ127" s="276">
        <v>0</v>
      </c>
      <c r="BK127" s="276">
        <v>0</v>
      </c>
      <c r="BL127" s="276">
        <v>0</v>
      </c>
      <c r="BM127" s="276">
        <v>0</v>
      </c>
      <c r="BN127" s="276">
        <v>0</v>
      </c>
      <c r="BO127" s="276">
        <v>0</v>
      </c>
      <c r="BP127" s="276">
        <v>0</v>
      </c>
    </row>
    <row r="128" spans="1:68" x14ac:dyDescent="0.35">
      <c r="A128" s="277" t="s">
        <v>563</v>
      </c>
      <c r="B128" s="277" t="s">
        <v>562</v>
      </c>
      <c r="C128" s="283" t="s">
        <v>403</v>
      </c>
      <c r="D128" s="277" t="s">
        <v>560</v>
      </c>
      <c r="F128" s="277" t="s">
        <v>871</v>
      </c>
      <c r="K128" s="277" t="s">
        <v>819</v>
      </c>
      <c r="L128" s="277" t="s">
        <v>557</v>
      </c>
      <c r="N128" s="277" t="s">
        <v>820</v>
      </c>
      <c r="O128" s="277" t="s">
        <v>819</v>
      </c>
      <c r="P128" s="277" t="s">
        <v>557</v>
      </c>
      <c r="Q128" s="277" t="s">
        <v>556</v>
      </c>
      <c r="R128" s="277" t="s">
        <v>819</v>
      </c>
      <c r="S128" s="276">
        <v>0</v>
      </c>
      <c r="T128" s="276">
        <v>0</v>
      </c>
      <c r="U128" s="276">
        <v>0</v>
      </c>
      <c r="V128" s="276">
        <v>0</v>
      </c>
      <c r="W128" s="276">
        <v>0</v>
      </c>
      <c r="X128" s="276">
        <v>0</v>
      </c>
      <c r="Y128" s="276">
        <v>0</v>
      </c>
      <c r="Z128" s="276">
        <v>0</v>
      </c>
      <c r="AA128" s="276">
        <v>0</v>
      </c>
      <c r="AB128" s="276">
        <v>0</v>
      </c>
      <c r="AC128" s="276"/>
      <c r="AD128" s="276">
        <v>0</v>
      </c>
      <c r="AE128" s="276"/>
      <c r="AF128" s="276">
        <v>0</v>
      </c>
      <c r="AG128" s="276">
        <v>0</v>
      </c>
      <c r="AH128" s="283" t="s">
        <v>483</v>
      </c>
      <c r="AJ128" s="281" t="s">
        <v>553</v>
      </c>
      <c r="AK128" s="280" t="s">
        <v>552</v>
      </c>
      <c r="AL128" s="276">
        <v>1.56</v>
      </c>
      <c r="AM128" s="279">
        <v>0</v>
      </c>
      <c r="AN128" s="276">
        <v>0</v>
      </c>
      <c r="AO128" s="276">
        <v>1.56</v>
      </c>
      <c r="AP128" s="279">
        <v>0</v>
      </c>
      <c r="AQ128" s="276">
        <v>0</v>
      </c>
      <c r="AR128" s="276">
        <v>0</v>
      </c>
      <c r="AS128" s="271">
        <v>2</v>
      </c>
      <c r="AT128" s="276">
        <v>0</v>
      </c>
      <c r="AU128" s="279">
        <v>0</v>
      </c>
      <c r="AV128" s="276">
        <v>0</v>
      </c>
      <c r="AW128" s="276">
        <v>0</v>
      </c>
      <c r="AX128" s="279">
        <v>0</v>
      </c>
      <c r="AY128" s="276">
        <v>0</v>
      </c>
      <c r="AZ128" s="276">
        <v>0</v>
      </c>
      <c r="BA128" s="278" t="s">
        <v>551</v>
      </c>
      <c r="BB128" s="276">
        <v>0</v>
      </c>
      <c r="BC128" s="279">
        <v>0</v>
      </c>
      <c r="BD128" s="276">
        <v>0</v>
      </c>
      <c r="BE128" s="276">
        <v>0</v>
      </c>
      <c r="BF128" s="279">
        <v>0</v>
      </c>
      <c r="BG128" s="276">
        <v>0</v>
      </c>
      <c r="BH128" s="276">
        <v>0</v>
      </c>
      <c r="BI128" s="278" t="s">
        <v>550</v>
      </c>
      <c r="BJ128" s="276">
        <v>0</v>
      </c>
      <c r="BK128" s="276">
        <v>0</v>
      </c>
      <c r="BL128" s="276">
        <v>0</v>
      </c>
      <c r="BM128" s="276">
        <v>0</v>
      </c>
      <c r="BN128" s="276">
        <v>0</v>
      </c>
      <c r="BO128" s="276">
        <v>0</v>
      </c>
      <c r="BP128" s="276">
        <v>0</v>
      </c>
    </row>
    <row r="129" spans="1:68" x14ac:dyDescent="0.35">
      <c r="A129" s="277" t="s">
        <v>563</v>
      </c>
      <c r="B129" s="277" t="s">
        <v>562</v>
      </c>
      <c r="C129" s="283" t="s">
        <v>405</v>
      </c>
      <c r="D129" s="277" t="s">
        <v>560</v>
      </c>
      <c r="F129" s="277" t="s">
        <v>870</v>
      </c>
      <c r="K129" s="277" t="s">
        <v>819</v>
      </c>
      <c r="L129" s="277" t="s">
        <v>557</v>
      </c>
      <c r="N129" s="277" t="s">
        <v>820</v>
      </c>
      <c r="O129" s="277" t="s">
        <v>819</v>
      </c>
      <c r="P129" s="277" t="s">
        <v>557</v>
      </c>
      <c r="Q129" s="277" t="s">
        <v>556</v>
      </c>
      <c r="R129" s="277" t="s">
        <v>819</v>
      </c>
      <c r="S129" s="276">
        <v>0</v>
      </c>
      <c r="T129" s="276">
        <v>0</v>
      </c>
      <c r="U129" s="276">
        <v>0</v>
      </c>
      <c r="V129" s="276">
        <v>0</v>
      </c>
      <c r="W129" s="276">
        <v>0</v>
      </c>
      <c r="X129" s="276">
        <v>0</v>
      </c>
      <c r="Y129" s="276">
        <v>0</v>
      </c>
      <c r="Z129" s="276">
        <v>0</v>
      </c>
      <c r="AA129" s="276">
        <v>0</v>
      </c>
      <c r="AB129" s="276">
        <v>0</v>
      </c>
      <c r="AC129" s="276"/>
      <c r="AD129" s="276">
        <v>0</v>
      </c>
      <c r="AE129" s="276"/>
      <c r="AF129" s="276">
        <v>0</v>
      </c>
      <c r="AG129" s="276">
        <v>0</v>
      </c>
      <c r="AH129" s="283" t="s">
        <v>483</v>
      </c>
      <c r="AJ129" s="281" t="s">
        <v>553</v>
      </c>
      <c r="AK129" s="280" t="s">
        <v>552</v>
      </c>
      <c r="AL129" s="276">
        <v>0.94</v>
      </c>
      <c r="AM129" s="279">
        <v>0</v>
      </c>
      <c r="AN129" s="276">
        <v>0</v>
      </c>
      <c r="AO129" s="276">
        <v>0.94</v>
      </c>
      <c r="AP129" s="279">
        <v>0</v>
      </c>
      <c r="AQ129" s="276">
        <v>0</v>
      </c>
      <c r="AR129" s="276">
        <v>0</v>
      </c>
      <c r="AS129" s="271">
        <v>2</v>
      </c>
      <c r="AT129" s="276">
        <v>0</v>
      </c>
      <c r="AU129" s="279">
        <v>0</v>
      </c>
      <c r="AV129" s="276">
        <v>0</v>
      </c>
      <c r="AW129" s="276">
        <v>0</v>
      </c>
      <c r="AX129" s="279">
        <v>0</v>
      </c>
      <c r="AY129" s="276">
        <v>0</v>
      </c>
      <c r="AZ129" s="276">
        <v>0</v>
      </c>
      <c r="BA129" s="278" t="s">
        <v>551</v>
      </c>
      <c r="BB129" s="276">
        <v>0</v>
      </c>
      <c r="BC129" s="279">
        <v>0</v>
      </c>
      <c r="BD129" s="276">
        <v>0</v>
      </c>
      <c r="BE129" s="276">
        <v>0</v>
      </c>
      <c r="BF129" s="279">
        <v>0</v>
      </c>
      <c r="BG129" s="276">
        <v>0</v>
      </c>
      <c r="BH129" s="276">
        <v>0</v>
      </c>
      <c r="BI129" s="278" t="s">
        <v>550</v>
      </c>
      <c r="BJ129" s="276">
        <v>0</v>
      </c>
      <c r="BK129" s="276">
        <v>0</v>
      </c>
      <c r="BL129" s="276">
        <v>0</v>
      </c>
      <c r="BM129" s="276">
        <v>0</v>
      </c>
      <c r="BN129" s="276">
        <v>0</v>
      </c>
      <c r="BO129" s="276">
        <v>0</v>
      </c>
      <c r="BP129" s="276">
        <v>0</v>
      </c>
    </row>
    <row r="130" spans="1:68" x14ac:dyDescent="0.35">
      <c r="A130" s="277" t="s">
        <v>563</v>
      </c>
      <c r="B130" s="277" t="s">
        <v>562</v>
      </c>
      <c r="C130" s="283" t="s">
        <v>409</v>
      </c>
      <c r="D130" s="277" t="s">
        <v>560</v>
      </c>
      <c r="F130" s="277" t="s">
        <v>869</v>
      </c>
      <c r="K130" s="277" t="s">
        <v>819</v>
      </c>
      <c r="L130" s="277" t="s">
        <v>557</v>
      </c>
      <c r="N130" s="277" t="s">
        <v>820</v>
      </c>
      <c r="O130" s="277" t="s">
        <v>819</v>
      </c>
      <c r="P130" s="277" t="s">
        <v>557</v>
      </c>
      <c r="Q130" s="277" t="s">
        <v>556</v>
      </c>
      <c r="R130" s="277" t="s">
        <v>819</v>
      </c>
      <c r="S130" s="276">
        <v>0</v>
      </c>
      <c r="T130" s="276">
        <v>0</v>
      </c>
      <c r="U130" s="276">
        <v>0</v>
      </c>
      <c r="V130" s="276">
        <v>0</v>
      </c>
      <c r="W130" s="276">
        <v>0</v>
      </c>
      <c r="X130" s="276">
        <v>0</v>
      </c>
      <c r="Y130" s="276">
        <v>0</v>
      </c>
      <c r="Z130" s="276">
        <v>0</v>
      </c>
      <c r="AA130" s="276">
        <v>0</v>
      </c>
      <c r="AB130" s="276">
        <v>0</v>
      </c>
      <c r="AC130" s="276"/>
      <c r="AD130" s="276">
        <v>0</v>
      </c>
      <c r="AE130" s="276"/>
      <c r="AF130" s="276">
        <v>0</v>
      </c>
      <c r="AG130" s="276">
        <v>0</v>
      </c>
      <c r="AH130" s="283" t="s">
        <v>86</v>
      </c>
      <c r="AI130" s="282" t="s">
        <v>394</v>
      </c>
      <c r="AJ130" s="281" t="s">
        <v>553</v>
      </c>
      <c r="AK130" s="280" t="s">
        <v>552</v>
      </c>
      <c r="AL130" s="276">
        <v>1.43</v>
      </c>
      <c r="AM130" s="279">
        <v>0</v>
      </c>
      <c r="AN130" s="276">
        <v>0</v>
      </c>
      <c r="AO130" s="276">
        <v>1.43</v>
      </c>
      <c r="AP130" s="279">
        <v>0</v>
      </c>
      <c r="AQ130" s="276">
        <v>0</v>
      </c>
      <c r="AR130" s="276">
        <v>0</v>
      </c>
      <c r="AS130" s="271">
        <v>2</v>
      </c>
      <c r="AT130" s="276">
        <v>0</v>
      </c>
      <c r="AU130" s="279">
        <v>0</v>
      </c>
      <c r="AV130" s="276">
        <v>0</v>
      </c>
      <c r="AW130" s="276">
        <v>0</v>
      </c>
      <c r="AX130" s="279">
        <v>0</v>
      </c>
      <c r="AY130" s="276">
        <v>0</v>
      </c>
      <c r="AZ130" s="276">
        <v>0</v>
      </c>
      <c r="BA130" s="278" t="s">
        <v>551</v>
      </c>
      <c r="BB130" s="276">
        <v>0</v>
      </c>
      <c r="BC130" s="279">
        <v>0</v>
      </c>
      <c r="BD130" s="276">
        <v>0</v>
      </c>
      <c r="BE130" s="276">
        <v>0</v>
      </c>
      <c r="BF130" s="279">
        <v>0</v>
      </c>
      <c r="BG130" s="276">
        <v>0</v>
      </c>
      <c r="BH130" s="276">
        <v>0</v>
      </c>
      <c r="BI130" s="278" t="s">
        <v>550</v>
      </c>
      <c r="BJ130" s="276">
        <v>0</v>
      </c>
      <c r="BK130" s="276">
        <v>0</v>
      </c>
      <c r="BL130" s="276">
        <v>0</v>
      </c>
      <c r="BM130" s="276">
        <v>0</v>
      </c>
      <c r="BN130" s="276">
        <v>0</v>
      </c>
      <c r="BO130" s="276">
        <v>0</v>
      </c>
      <c r="BP130" s="276">
        <v>0</v>
      </c>
    </row>
    <row r="131" spans="1:68" x14ac:dyDescent="0.35">
      <c r="A131" s="277" t="s">
        <v>563</v>
      </c>
      <c r="B131" s="277" t="s">
        <v>562</v>
      </c>
      <c r="C131" s="283" t="s">
        <v>386</v>
      </c>
      <c r="D131" s="277" t="s">
        <v>560</v>
      </c>
      <c r="F131" s="277" t="s">
        <v>868</v>
      </c>
      <c r="K131" s="277" t="s">
        <v>819</v>
      </c>
      <c r="L131" s="277" t="s">
        <v>557</v>
      </c>
      <c r="N131" s="277" t="s">
        <v>820</v>
      </c>
      <c r="O131" s="277" t="s">
        <v>819</v>
      </c>
      <c r="P131" s="277" t="s">
        <v>557</v>
      </c>
      <c r="Q131" s="277" t="s">
        <v>556</v>
      </c>
      <c r="R131" s="277" t="s">
        <v>819</v>
      </c>
      <c r="S131" s="276">
        <v>0</v>
      </c>
      <c r="T131" s="276">
        <v>0</v>
      </c>
      <c r="U131" s="276">
        <v>0</v>
      </c>
      <c r="V131" s="276">
        <v>0</v>
      </c>
      <c r="W131" s="276">
        <v>0</v>
      </c>
      <c r="X131" s="276">
        <v>0</v>
      </c>
      <c r="Y131" s="276">
        <v>0</v>
      </c>
      <c r="Z131" s="276">
        <v>0</v>
      </c>
      <c r="AA131" s="276">
        <v>0</v>
      </c>
      <c r="AB131" s="276">
        <v>0</v>
      </c>
      <c r="AC131" s="276"/>
      <c r="AD131" s="276">
        <v>0</v>
      </c>
      <c r="AE131" s="276"/>
      <c r="AF131" s="276">
        <v>0</v>
      </c>
      <c r="AG131" s="276">
        <v>0</v>
      </c>
      <c r="AH131" s="283" t="s">
        <v>86</v>
      </c>
      <c r="AI131" s="282" t="s">
        <v>394</v>
      </c>
      <c r="AJ131" s="281" t="s">
        <v>553</v>
      </c>
      <c r="AK131" s="280" t="s">
        <v>552</v>
      </c>
      <c r="AL131" s="276">
        <v>1.43</v>
      </c>
      <c r="AM131" s="279">
        <v>0</v>
      </c>
      <c r="AN131" s="276">
        <v>0</v>
      </c>
      <c r="AO131" s="276">
        <v>1.43</v>
      </c>
      <c r="AP131" s="279">
        <v>0</v>
      </c>
      <c r="AQ131" s="276">
        <v>0</v>
      </c>
      <c r="AR131" s="276">
        <v>0</v>
      </c>
      <c r="AS131" s="271">
        <v>2</v>
      </c>
      <c r="AT131" s="276">
        <v>0</v>
      </c>
      <c r="AU131" s="279">
        <v>0</v>
      </c>
      <c r="AV131" s="276">
        <v>0</v>
      </c>
      <c r="AW131" s="276">
        <v>0</v>
      </c>
      <c r="AX131" s="279">
        <v>0</v>
      </c>
      <c r="AY131" s="276">
        <v>0</v>
      </c>
      <c r="AZ131" s="276">
        <v>0</v>
      </c>
      <c r="BA131" s="278" t="s">
        <v>551</v>
      </c>
      <c r="BB131" s="276">
        <v>0</v>
      </c>
      <c r="BC131" s="279">
        <v>0</v>
      </c>
      <c r="BD131" s="276">
        <v>0</v>
      </c>
      <c r="BE131" s="276">
        <v>0</v>
      </c>
      <c r="BF131" s="279">
        <v>0</v>
      </c>
      <c r="BG131" s="276">
        <v>0</v>
      </c>
      <c r="BH131" s="276">
        <v>0</v>
      </c>
      <c r="BI131" s="278" t="s">
        <v>550</v>
      </c>
      <c r="BJ131" s="276">
        <v>0</v>
      </c>
      <c r="BK131" s="276">
        <v>0</v>
      </c>
      <c r="BL131" s="276">
        <v>0</v>
      </c>
      <c r="BM131" s="276">
        <v>0</v>
      </c>
      <c r="BN131" s="276">
        <v>0</v>
      </c>
      <c r="BO131" s="276">
        <v>0</v>
      </c>
      <c r="BP131" s="276">
        <v>0</v>
      </c>
    </row>
    <row r="132" spans="1:68" x14ac:dyDescent="0.35">
      <c r="A132" s="277" t="s">
        <v>563</v>
      </c>
      <c r="B132" s="277" t="s">
        <v>562</v>
      </c>
      <c r="C132" s="283" t="s">
        <v>388</v>
      </c>
      <c r="D132" s="277" t="s">
        <v>560</v>
      </c>
      <c r="F132" s="277" t="s">
        <v>867</v>
      </c>
      <c r="K132" s="277" t="s">
        <v>819</v>
      </c>
      <c r="L132" s="277" t="s">
        <v>557</v>
      </c>
      <c r="N132" s="277" t="s">
        <v>820</v>
      </c>
      <c r="O132" s="277" t="s">
        <v>819</v>
      </c>
      <c r="P132" s="277" t="s">
        <v>557</v>
      </c>
      <c r="Q132" s="277" t="s">
        <v>556</v>
      </c>
      <c r="R132" s="277" t="s">
        <v>819</v>
      </c>
      <c r="S132" s="276">
        <v>0</v>
      </c>
      <c r="T132" s="276">
        <v>0</v>
      </c>
      <c r="U132" s="276">
        <v>0</v>
      </c>
      <c r="V132" s="276">
        <v>0</v>
      </c>
      <c r="W132" s="276">
        <v>0</v>
      </c>
      <c r="X132" s="276">
        <v>0</v>
      </c>
      <c r="Y132" s="276">
        <v>0</v>
      </c>
      <c r="Z132" s="276">
        <v>0</v>
      </c>
      <c r="AA132" s="276">
        <v>0</v>
      </c>
      <c r="AB132" s="276">
        <v>0</v>
      </c>
      <c r="AC132" s="276"/>
      <c r="AD132" s="276">
        <v>0</v>
      </c>
      <c r="AE132" s="276"/>
      <c r="AF132" s="276">
        <v>0</v>
      </c>
      <c r="AG132" s="276">
        <v>0</v>
      </c>
      <c r="AH132" s="283" t="s">
        <v>86</v>
      </c>
      <c r="AI132" s="282" t="s">
        <v>396</v>
      </c>
      <c r="AJ132" s="281" t="s">
        <v>553</v>
      </c>
      <c r="AK132" s="280" t="s">
        <v>552</v>
      </c>
      <c r="AL132" s="276">
        <v>2.93</v>
      </c>
      <c r="AM132" s="279">
        <v>0</v>
      </c>
      <c r="AN132" s="276">
        <v>0</v>
      </c>
      <c r="AO132" s="276">
        <v>2.93</v>
      </c>
      <c r="AP132" s="279">
        <v>0</v>
      </c>
      <c r="AQ132" s="276">
        <v>0</v>
      </c>
      <c r="AR132" s="276">
        <v>0</v>
      </c>
      <c r="AS132" s="271">
        <v>2</v>
      </c>
      <c r="AT132" s="276">
        <v>0</v>
      </c>
      <c r="AU132" s="279">
        <v>0</v>
      </c>
      <c r="AV132" s="276">
        <v>0</v>
      </c>
      <c r="AW132" s="276">
        <v>0</v>
      </c>
      <c r="AX132" s="279">
        <v>0</v>
      </c>
      <c r="AY132" s="276">
        <v>0</v>
      </c>
      <c r="AZ132" s="276">
        <v>0</v>
      </c>
      <c r="BA132" s="278" t="s">
        <v>551</v>
      </c>
      <c r="BB132" s="276">
        <v>0</v>
      </c>
      <c r="BC132" s="279">
        <v>0</v>
      </c>
      <c r="BD132" s="276">
        <v>0</v>
      </c>
      <c r="BE132" s="276">
        <v>0</v>
      </c>
      <c r="BF132" s="279">
        <v>0</v>
      </c>
      <c r="BG132" s="276">
        <v>0</v>
      </c>
      <c r="BH132" s="276">
        <v>0</v>
      </c>
      <c r="BI132" s="278" t="s">
        <v>550</v>
      </c>
      <c r="BJ132" s="276">
        <v>0</v>
      </c>
      <c r="BK132" s="276">
        <v>0</v>
      </c>
      <c r="BL132" s="276">
        <v>0</v>
      </c>
      <c r="BM132" s="276">
        <v>0</v>
      </c>
      <c r="BN132" s="276">
        <v>0</v>
      </c>
      <c r="BO132" s="276">
        <v>0</v>
      </c>
      <c r="BP132" s="276">
        <v>0</v>
      </c>
    </row>
    <row r="133" spans="1:68" x14ac:dyDescent="0.35">
      <c r="A133" s="277" t="s">
        <v>563</v>
      </c>
      <c r="B133" s="277" t="s">
        <v>562</v>
      </c>
      <c r="C133" s="283" t="s">
        <v>390</v>
      </c>
      <c r="D133" s="277" t="s">
        <v>560</v>
      </c>
      <c r="F133" s="277" t="s">
        <v>866</v>
      </c>
      <c r="K133" s="277" t="s">
        <v>819</v>
      </c>
      <c r="L133" s="277" t="s">
        <v>557</v>
      </c>
      <c r="N133" s="277" t="s">
        <v>820</v>
      </c>
      <c r="O133" s="277" t="s">
        <v>819</v>
      </c>
      <c r="P133" s="277" t="s">
        <v>557</v>
      </c>
      <c r="Q133" s="277" t="s">
        <v>556</v>
      </c>
      <c r="R133" s="277" t="s">
        <v>819</v>
      </c>
      <c r="S133" s="276">
        <v>0</v>
      </c>
      <c r="T133" s="276">
        <v>0</v>
      </c>
      <c r="U133" s="276">
        <v>0</v>
      </c>
      <c r="V133" s="276">
        <v>0</v>
      </c>
      <c r="W133" s="276">
        <v>0</v>
      </c>
      <c r="X133" s="276">
        <v>0</v>
      </c>
      <c r="Y133" s="276">
        <v>0</v>
      </c>
      <c r="Z133" s="276">
        <v>0</v>
      </c>
      <c r="AA133" s="276">
        <v>0</v>
      </c>
      <c r="AB133" s="276">
        <v>0</v>
      </c>
      <c r="AC133" s="276"/>
      <c r="AD133" s="276">
        <v>0</v>
      </c>
      <c r="AE133" s="276"/>
      <c r="AF133" s="276">
        <v>0</v>
      </c>
      <c r="AG133" s="276">
        <v>0</v>
      </c>
      <c r="AH133" s="283" t="s">
        <v>86</v>
      </c>
      <c r="AI133" s="282" t="s">
        <v>398</v>
      </c>
      <c r="AJ133" s="281" t="s">
        <v>553</v>
      </c>
      <c r="AK133" s="280" t="s">
        <v>552</v>
      </c>
      <c r="AL133" s="276">
        <v>1.5</v>
      </c>
      <c r="AM133" s="279">
        <v>0</v>
      </c>
      <c r="AN133" s="276">
        <v>0</v>
      </c>
      <c r="AO133" s="276">
        <v>1.5</v>
      </c>
      <c r="AP133" s="279">
        <v>0</v>
      </c>
      <c r="AQ133" s="276">
        <v>0</v>
      </c>
      <c r="AR133" s="276">
        <v>0</v>
      </c>
      <c r="AS133" s="271">
        <v>2</v>
      </c>
      <c r="AT133" s="276">
        <v>0</v>
      </c>
      <c r="AU133" s="279">
        <v>0</v>
      </c>
      <c r="AV133" s="276">
        <v>0</v>
      </c>
      <c r="AW133" s="276">
        <v>0</v>
      </c>
      <c r="AX133" s="279">
        <v>0</v>
      </c>
      <c r="AY133" s="276">
        <v>0</v>
      </c>
      <c r="AZ133" s="276">
        <v>0</v>
      </c>
      <c r="BA133" s="278" t="s">
        <v>551</v>
      </c>
      <c r="BB133" s="276">
        <v>0</v>
      </c>
      <c r="BC133" s="279">
        <v>0</v>
      </c>
      <c r="BD133" s="276">
        <v>0</v>
      </c>
      <c r="BE133" s="276">
        <v>0</v>
      </c>
      <c r="BF133" s="279">
        <v>0</v>
      </c>
      <c r="BG133" s="276">
        <v>0</v>
      </c>
      <c r="BH133" s="276">
        <v>0</v>
      </c>
      <c r="BI133" s="278" t="s">
        <v>550</v>
      </c>
      <c r="BJ133" s="276">
        <v>0</v>
      </c>
      <c r="BK133" s="276">
        <v>0</v>
      </c>
      <c r="BL133" s="276">
        <v>0</v>
      </c>
      <c r="BM133" s="276">
        <v>0</v>
      </c>
      <c r="BN133" s="276">
        <v>0</v>
      </c>
      <c r="BO133" s="276">
        <v>0</v>
      </c>
      <c r="BP133" s="276">
        <v>0</v>
      </c>
    </row>
    <row r="134" spans="1:68" x14ac:dyDescent="0.35">
      <c r="A134" s="277" t="s">
        <v>563</v>
      </c>
      <c r="B134" s="277" t="s">
        <v>562</v>
      </c>
      <c r="C134" s="283" t="s">
        <v>394</v>
      </c>
      <c r="D134" s="277" t="s">
        <v>560</v>
      </c>
      <c r="F134" s="277" t="s">
        <v>865</v>
      </c>
      <c r="K134" s="277" t="s">
        <v>819</v>
      </c>
      <c r="L134" s="277" t="s">
        <v>557</v>
      </c>
      <c r="N134" s="277" t="s">
        <v>820</v>
      </c>
      <c r="O134" s="277" t="s">
        <v>819</v>
      </c>
      <c r="P134" s="277" t="s">
        <v>557</v>
      </c>
      <c r="Q134" s="277" t="s">
        <v>556</v>
      </c>
      <c r="R134" s="277" t="s">
        <v>819</v>
      </c>
      <c r="S134" s="276">
        <v>0</v>
      </c>
      <c r="T134" s="276">
        <v>0</v>
      </c>
      <c r="U134" s="276">
        <v>0</v>
      </c>
      <c r="V134" s="276">
        <v>0</v>
      </c>
      <c r="W134" s="276">
        <v>0</v>
      </c>
      <c r="X134" s="276">
        <v>0</v>
      </c>
      <c r="Y134" s="276">
        <v>0</v>
      </c>
      <c r="Z134" s="276">
        <v>0</v>
      </c>
      <c r="AA134" s="276">
        <v>0</v>
      </c>
      <c r="AB134" s="276">
        <v>0</v>
      </c>
      <c r="AC134" s="276"/>
      <c r="AD134" s="276">
        <v>0</v>
      </c>
      <c r="AE134" s="276"/>
      <c r="AF134" s="276">
        <v>0</v>
      </c>
      <c r="AG134" s="276">
        <v>0</v>
      </c>
      <c r="AH134" s="283" t="s">
        <v>483</v>
      </c>
      <c r="AJ134" s="281" t="s">
        <v>553</v>
      </c>
      <c r="AK134" s="280" t="s">
        <v>552</v>
      </c>
      <c r="AL134" s="276">
        <v>0.8</v>
      </c>
      <c r="AM134" s="279">
        <v>0</v>
      </c>
      <c r="AN134" s="276">
        <v>0</v>
      </c>
      <c r="AO134" s="276">
        <v>0.8</v>
      </c>
      <c r="AP134" s="279">
        <v>0</v>
      </c>
      <c r="AQ134" s="276">
        <v>0</v>
      </c>
      <c r="AR134" s="276">
        <v>0</v>
      </c>
      <c r="AS134" s="271">
        <v>2</v>
      </c>
      <c r="AT134" s="276">
        <v>0</v>
      </c>
      <c r="AU134" s="279">
        <v>0</v>
      </c>
      <c r="AV134" s="276">
        <v>0</v>
      </c>
      <c r="AW134" s="276">
        <v>0</v>
      </c>
      <c r="AX134" s="279">
        <v>0</v>
      </c>
      <c r="AY134" s="276">
        <v>0</v>
      </c>
      <c r="AZ134" s="276">
        <v>0</v>
      </c>
      <c r="BA134" s="278" t="s">
        <v>551</v>
      </c>
      <c r="BB134" s="276">
        <v>0</v>
      </c>
      <c r="BC134" s="279">
        <v>0</v>
      </c>
      <c r="BD134" s="276">
        <v>0</v>
      </c>
      <c r="BE134" s="276">
        <v>0</v>
      </c>
      <c r="BF134" s="279">
        <v>0</v>
      </c>
      <c r="BG134" s="276">
        <v>0</v>
      </c>
      <c r="BH134" s="276">
        <v>0</v>
      </c>
      <c r="BI134" s="278" t="s">
        <v>550</v>
      </c>
      <c r="BJ134" s="276">
        <v>0</v>
      </c>
      <c r="BK134" s="276">
        <v>0</v>
      </c>
      <c r="BL134" s="276">
        <v>0</v>
      </c>
      <c r="BM134" s="276">
        <v>0</v>
      </c>
      <c r="BN134" s="276">
        <v>0</v>
      </c>
      <c r="BO134" s="276">
        <v>0</v>
      </c>
      <c r="BP134" s="276">
        <v>0</v>
      </c>
    </row>
    <row r="135" spans="1:68" x14ac:dyDescent="0.35">
      <c r="A135" s="277" t="s">
        <v>563</v>
      </c>
      <c r="B135" s="277" t="s">
        <v>562</v>
      </c>
      <c r="C135" s="283" t="s">
        <v>396</v>
      </c>
      <c r="D135" s="277" t="s">
        <v>560</v>
      </c>
      <c r="F135" s="277" t="s">
        <v>864</v>
      </c>
      <c r="K135" s="277" t="s">
        <v>819</v>
      </c>
      <c r="L135" s="277" t="s">
        <v>557</v>
      </c>
      <c r="N135" s="277" t="s">
        <v>820</v>
      </c>
      <c r="O135" s="277" t="s">
        <v>819</v>
      </c>
      <c r="P135" s="277" t="s">
        <v>557</v>
      </c>
      <c r="Q135" s="277" t="s">
        <v>556</v>
      </c>
      <c r="R135" s="277" t="s">
        <v>819</v>
      </c>
      <c r="S135" s="276">
        <v>0</v>
      </c>
      <c r="T135" s="276">
        <v>0</v>
      </c>
      <c r="U135" s="276">
        <v>0</v>
      </c>
      <c r="V135" s="276">
        <v>0</v>
      </c>
      <c r="W135" s="276">
        <v>0</v>
      </c>
      <c r="X135" s="276">
        <v>0</v>
      </c>
      <c r="Y135" s="276">
        <v>0</v>
      </c>
      <c r="Z135" s="276">
        <v>0</v>
      </c>
      <c r="AA135" s="276">
        <v>0</v>
      </c>
      <c r="AB135" s="276">
        <v>0</v>
      </c>
      <c r="AC135" s="276"/>
      <c r="AD135" s="276">
        <v>0</v>
      </c>
      <c r="AE135" s="276"/>
      <c r="AF135" s="276">
        <v>0</v>
      </c>
      <c r="AG135" s="276">
        <v>0</v>
      </c>
      <c r="AH135" s="283" t="s">
        <v>483</v>
      </c>
      <c r="AJ135" s="281" t="s">
        <v>553</v>
      </c>
      <c r="AK135" s="280" t="s">
        <v>552</v>
      </c>
      <c r="AL135" s="276">
        <v>1.56</v>
      </c>
      <c r="AM135" s="279">
        <v>0</v>
      </c>
      <c r="AN135" s="276">
        <v>0</v>
      </c>
      <c r="AO135" s="276">
        <v>1.56</v>
      </c>
      <c r="AP135" s="279">
        <v>0</v>
      </c>
      <c r="AQ135" s="276">
        <v>0</v>
      </c>
      <c r="AR135" s="276">
        <v>0</v>
      </c>
      <c r="AS135" s="271">
        <v>2</v>
      </c>
      <c r="AT135" s="276">
        <v>0</v>
      </c>
      <c r="AU135" s="279">
        <v>0</v>
      </c>
      <c r="AV135" s="276">
        <v>0</v>
      </c>
      <c r="AW135" s="276">
        <v>0</v>
      </c>
      <c r="AX135" s="279">
        <v>0</v>
      </c>
      <c r="AY135" s="276">
        <v>0</v>
      </c>
      <c r="AZ135" s="276">
        <v>0</v>
      </c>
      <c r="BA135" s="278" t="s">
        <v>551</v>
      </c>
      <c r="BB135" s="276">
        <v>0</v>
      </c>
      <c r="BC135" s="279">
        <v>0</v>
      </c>
      <c r="BD135" s="276">
        <v>0</v>
      </c>
      <c r="BE135" s="276">
        <v>0</v>
      </c>
      <c r="BF135" s="279">
        <v>0</v>
      </c>
      <c r="BG135" s="276">
        <v>0</v>
      </c>
      <c r="BH135" s="276">
        <v>0</v>
      </c>
      <c r="BI135" s="278" t="s">
        <v>550</v>
      </c>
      <c r="BJ135" s="276">
        <v>0</v>
      </c>
      <c r="BK135" s="276">
        <v>0</v>
      </c>
      <c r="BL135" s="276">
        <v>0</v>
      </c>
      <c r="BM135" s="276">
        <v>0</v>
      </c>
      <c r="BN135" s="276">
        <v>0</v>
      </c>
      <c r="BO135" s="276">
        <v>0</v>
      </c>
      <c r="BP135" s="276">
        <v>0</v>
      </c>
    </row>
    <row r="136" spans="1:68" x14ac:dyDescent="0.35">
      <c r="A136" s="277" t="s">
        <v>563</v>
      </c>
      <c r="B136" s="277" t="s">
        <v>562</v>
      </c>
      <c r="C136" s="283" t="s">
        <v>398</v>
      </c>
      <c r="D136" s="277" t="s">
        <v>560</v>
      </c>
      <c r="F136" s="277" t="s">
        <v>863</v>
      </c>
      <c r="K136" s="277" t="s">
        <v>819</v>
      </c>
      <c r="L136" s="277" t="s">
        <v>557</v>
      </c>
      <c r="N136" s="277" t="s">
        <v>820</v>
      </c>
      <c r="O136" s="277" t="s">
        <v>819</v>
      </c>
      <c r="P136" s="277" t="s">
        <v>557</v>
      </c>
      <c r="Q136" s="277" t="s">
        <v>556</v>
      </c>
      <c r="R136" s="277" t="s">
        <v>819</v>
      </c>
      <c r="S136" s="276">
        <v>0</v>
      </c>
      <c r="T136" s="276">
        <v>0</v>
      </c>
      <c r="U136" s="276">
        <v>0</v>
      </c>
      <c r="V136" s="276">
        <v>0</v>
      </c>
      <c r="W136" s="276">
        <v>0</v>
      </c>
      <c r="X136" s="276">
        <v>0</v>
      </c>
      <c r="Y136" s="276">
        <v>0</v>
      </c>
      <c r="Z136" s="276">
        <v>0</v>
      </c>
      <c r="AA136" s="276">
        <v>0</v>
      </c>
      <c r="AB136" s="276">
        <v>0</v>
      </c>
      <c r="AC136" s="276"/>
      <c r="AD136" s="276">
        <v>0</v>
      </c>
      <c r="AE136" s="276"/>
      <c r="AF136" s="276">
        <v>0</v>
      </c>
      <c r="AG136" s="276">
        <v>0</v>
      </c>
      <c r="AH136" s="283" t="s">
        <v>483</v>
      </c>
      <c r="AJ136" s="281" t="s">
        <v>553</v>
      </c>
      <c r="AK136" s="280" t="s">
        <v>552</v>
      </c>
      <c r="AL136" s="276">
        <v>0.94</v>
      </c>
      <c r="AM136" s="279">
        <v>0</v>
      </c>
      <c r="AN136" s="276">
        <v>0</v>
      </c>
      <c r="AO136" s="276">
        <v>0.94</v>
      </c>
      <c r="AP136" s="279">
        <v>0</v>
      </c>
      <c r="AQ136" s="276">
        <v>0</v>
      </c>
      <c r="AR136" s="276">
        <v>0</v>
      </c>
      <c r="AS136" s="271">
        <v>2</v>
      </c>
      <c r="AT136" s="276">
        <v>0</v>
      </c>
      <c r="AU136" s="279">
        <v>0</v>
      </c>
      <c r="AV136" s="276">
        <v>0</v>
      </c>
      <c r="AW136" s="276">
        <v>0</v>
      </c>
      <c r="AX136" s="279">
        <v>0</v>
      </c>
      <c r="AY136" s="276">
        <v>0</v>
      </c>
      <c r="AZ136" s="276">
        <v>0</v>
      </c>
      <c r="BA136" s="278" t="s">
        <v>551</v>
      </c>
      <c r="BB136" s="276">
        <v>0</v>
      </c>
      <c r="BC136" s="279">
        <v>0</v>
      </c>
      <c r="BD136" s="276">
        <v>0</v>
      </c>
      <c r="BE136" s="276">
        <v>0</v>
      </c>
      <c r="BF136" s="279">
        <v>0</v>
      </c>
      <c r="BG136" s="276">
        <v>0</v>
      </c>
      <c r="BH136" s="276">
        <v>0</v>
      </c>
      <c r="BI136" s="278" t="s">
        <v>550</v>
      </c>
      <c r="BJ136" s="276">
        <v>0</v>
      </c>
      <c r="BK136" s="276">
        <v>0</v>
      </c>
      <c r="BL136" s="276">
        <v>0</v>
      </c>
      <c r="BM136" s="276">
        <v>0</v>
      </c>
      <c r="BN136" s="276">
        <v>0</v>
      </c>
      <c r="BO136" s="276">
        <v>0</v>
      </c>
      <c r="BP136" s="276">
        <v>0</v>
      </c>
    </row>
    <row r="137" spans="1:68" x14ac:dyDescent="0.35">
      <c r="A137" s="277" t="s">
        <v>563</v>
      </c>
      <c r="B137" s="277" t="s">
        <v>562</v>
      </c>
      <c r="C137" s="283" t="s">
        <v>256</v>
      </c>
      <c r="D137" s="277" t="s">
        <v>560</v>
      </c>
      <c r="F137" s="277" t="s">
        <v>862</v>
      </c>
      <c r="K137" s="277" t="s">
        <v>819</v>
      </c>
      <c r="L137" s="277" t="s">
        <v>557</v>
      </c>
      <c r="N137" s="277" t="s">
        <v>820</v>
      </c>
      <c r="O137" s="277" t="s">
        <v>819</v>
      </c>
      <c r="P137" s="277" t="s">
        <v>557</v>
      </c>
      <c r="Q137" s="277" t="s">
        <v>556</v>
      </c>
      <c r="R137" s="277" t="s">
        <v>819</v>
      </c>
      <c r="S137" s="276">
        <v>2263.8000000000002</v>
      </c>
      <c r="T137" s="276">
        <v>0</v>
      </c>
      <c r="U137" s="276">
        <v>0</v>
      </c>
      <c r="V137" s="276">
        <v>0</v>
      </c>
      <c r="W137" s="276">
        <v>0</v>
      </c>
      <c r="X137" s="276">
        <v>0</v>
      </c>
      <c r="Y137" s="276">
        <v>0</v>
      </c>
      <c r="Z137" s="276">
        <v>0</v>
      </c>
      <c r="AA137" s="276">
        <v>0</v>
      </c>
      <c r="AB137" s="276">
        <v>0</v>
      </c>
      <c r="AC137" s="276"/>
      <c r="AD137" s="276">
        <v>0</v>
      </c>
      <c r="AE137" s="276"/>
      <c r="AF137" s="276">
        <v>0</v>
      </c>
      <c r="AG137" s="276">
        <v>0</v>
      </c>
      <c r="AH137" s="283" t="s">
        <v>483</v>
      </c>
      <c r="AJ137" s="281" t="s">
        <v>553</v>
      </c>
      <c r="AK137" s="280" t="s">
        <v>552</v>
      </c>
      <c r="AL137" s="276">
        <v>0</v>
      </c>
      <c r="AM137" s="279">
        <v>0</v>
      </c>
      <c r="AN137" s="276">
        <v>31.9</v>
      </c>
      <c r="AO137" s="276">
        <v>0</v>
      </c>
      <c r="AP137" s="279">
        <v>0</v>
      </c>
      <c r="AQ137" s="276">
        <v>0</v>
      </c>
      <c r="AR137" s="276">
        <v>0</v>
      </c>
      <c r="AS137" s="271">
        <v>2</v>
      </c>
      <c r="AT137" s="276">
        <v>0</v>
      </c>
      <c r="AU137" s="279">
        <v>0</v>
      </c>
      <c r="AV137" s="276">
        <v>0</v>
      </c>
      <c r="AW137" s="276">
        <v>0</v>
      </c>
      <c r="AX137" s="279">
        <v>0</v>
      </c>
      <c r="AY137" s="276">
        <v>0</v>
      </c>
      <c r="AZ137" s="276">
        <v>0</v>
      </c>
      <c r="BA137" s="278" t="s">
        <v>551</v>
      </c>
      <c r="BB137" s="276">
        <v>0</v>
      </c>
      <c r="BC137" s="279">
        <v>0</v>
      </c>
      <c r="BD137" s="276">
        <v>0</v>
      </c>
      <c r="BE137" s="276">
        <v>0</v>
      </c>
      <c r="BF137" s="279">
        <v>0</v>
      </c>
      <c r="BG137" s="276">
        <v>0</v>
      </c>
      <c r="BH137" s="276">
        <v>0</v>
      </c>
      <c r="BI137" s="278" t="s">
        <v>550</v>
      </c>
      <c r="BJ137" s="276">
        <v>0</v>
      </c>
      <c r="BK137" s="276">
        <v>0</v>
      </c>
      <c r="BL137" s="276">
        <v>0</v>
      </c>
      <c r="BM137" s="276">
        <v>0</v>
      </c>
      <c r="BN137" s="276">
        <v>0</v>
      </c>
      <c r="BO137" s="276">
        <v>0</v>
      </c>
      <c r="BP137" s="276">
        <v>0</v>
      </c>
    </row>
    <row r="138" spans="1:68" x14ac:dyDescent="0.35">
      <c r="A138" s="277" t="s">
        <v>563</v>
      </c>
      <c r="B138" s="277" t="s">
        <v>562</v>
      </c>
      <c r="C138" s="283" t="s">
        <v>257</v>
      </c>
      <c r="D138" s="277" t="s">
        <v>560</v>
      </c>
      <c r="F138" s="277" t="s">
        <v>861</v>
      </c>
      <c r="K138" s="277" t="s">
        <v>819</v>
      </c>
      <c r="L138" s="277" t="s">
        <v>557</v>
      </c>
      <c r="N138" s="277" t="s">
        <v>820</v>
      </c>
      <c r="O138" s="277" t="s">
        <v>819</v>
      </c>
      <c r="P138" s="277" t="s">
        <v>557</v>
      </c>
      <c r="Q138" s="277" t="s">
        <v>556</v>
      </c>
      <c r="R138" s="277" t="s">
        <v>819</v>
      </c>
      <c r="S138" s="276">
        <v>0</v>
      </c>
      <c r="T138" s="276">
        <v>0</v>
      </c>
      <c r="U138" s="276">
        <v>0</v>
      </c>
      <c r="V138" s="276">
        <v>0</v>
      </c>
      <c r="W138" s="276">
        <v>0</v>
      </c>
      <c r="X138" s="276">
        <v>0</v>
      </c>
      <c r="Y138" s="276">
        <v>0</v>
      </c>
      <c r="Z138" s="276">
        <v>0</v>
      </c>
      <c r="AA138" s="276">
        <v>0</v>
      </c>
      <c r="AB138" s="276">
        <v>0</v>
      </c>
      <c r="AC138" s="276"/>
      <c r="AD138" s="276">
        <v>0</v>
      </c>
      <c r="AE138" s="276"/>
      <c r="AF138" s="276">
        <v>0</v>
      </c>
      <c r="AG138" s="276">
        <v>0</v>
      </c>
      <c r="AH138" s="283" t="s">
        <v>483</v>
      </c>
      <c r="AJ138" s="281" t="s">
        <v>553</v>
      </c>
      <c r="AK138" s="280" t="s">
        <v>552</v>
      </c>
      <c r="AL138" s="276">
        <v>0</v>
      </c>
      <c r="AM138" s="279">
        <v>0</v>
      </c>
      <c r="AN138" s="276">
        <v>91.13</v>
      </c>
      <c r="AO138" s="276">
        <v>0</v>
      </c>
      <c r="AP138" s="279">
        <v>0</v>
      </c>
      <c r="AQ138" s="276">
        <v>0</v>
      </c>
      <c r="AR138" s="276">
        <v>0</v>
      </c>
      <c r="AS138" s="271">
        <v>2</v>
      </c>
      <c r="AT138" s="276">
        <v>0</v>
      </c>
      <c r="AU138" s="279">
        <v>0</v>
      </c>
      <c r="AV138" s="276">
        <v>0</v>
      </c>
      <c r="AW138" s="276">
        <v>0</v>
      </c>
      <c r="AX138" s="279">
        <v>0</v>
      </c>
      <c r="AY138" s="276">
        <v>0</v>
      </c>
      <c r="AZ138" s="276">
        <v>0</v>
      </c>
      <c r="BA138" s="278" t="s">
        <v>551</v>
      </c>
      <c r="BB138" s="276">
        <v>0</v>
      </c>
      <c r="BC138" s="279">
        <v>0</v>
      </c>
      <c r="BD138" s="276">
        <v>0</v>
      </c>
      <c r="BE138" s="276">
        <v>0</v>
      </c>
      <c r="BF138" s="279">
        <v>0</v>
      </c>
      <c r="BG138" s="276">
        <v>0</v>
      </c>
      <c r="BH138" s="276">
        <v>0</v>
      </c>
      <c r="BI138" s="278" t="s">
        <v>550</v>
      </c>
      <c r="BJ138" s="276">
        <v>0</v>
      </c>
      <c r="BK138" s="276">
        <v>0</v>
      </c>
      <c r="BL138" s="276">
        <v>0</v>
      </c>
      <c r="BM138" s="276">
        <v>0</v>
      </c>
      <c r="BN138" s="276">
        <v>0</v>
      </c>
      <c r="BO138" s="276">
        <v>0</v>
      </c>
      <c r="BP138" s="276">
        <v>0</v>
      </c>
    </row>
    <row r="139" spans="1:68" x14ac:dyDescent="0.35">
      <c r="A139" s="277" t="s">
        <v>563</v>
      </c>
      <c r="B139" s="277" t="s">
        <v>562</v>
      </c>
      <c r="C139" s="283" t="s">
        <v>260</v>
      </c>
      <c r="D139" s="277" t="s">
        <v>560</v>
      </c>
      <c r="F139" s="277" t="s">
        <v>860</v>
      </c>
      <c r="K139" s="277" t="s">
        <v>819</v>
      </c>
      <c r="L139" s="277" t="s">
        <v>557</v>
      </c>
      <c r="N139" s="277" t="s">
        <v>820</v>
      </c>
      <c r="O139" s="277" t="s">
        <v>819</v>
      </c>
      <c r="P139" s="277" t="s">
        <v>557</v>
      </c>
      <c r="Q139" s="277" t="s">
        <v>556</v>
      </c>
      <c r="R139" s="277" t="s">
        <v>819</v>
      </c>
      <c r="S139" s="276">
        <v>0</v>
      </c>
      <c r="T139" s="276">
        <v>0</v>
      </c>
      <c r="U139" s="276">
        <v>0</v>
      </c>
      <c r="V139" s="276">
        <v>0</v>
      </c>
      <c r="W139" s="276">
        <v>0</v>
      </c>
      <c r="X139" s="276">
        <v>0</v>
      </c>
      <c r="Y139" s="276">
        <v>0</v>
      </c>
      <c r="Z139" s="276">
        <v>0</v>
      </c>
      <c r="AA139" s="276">
        <v>0</v>
      </c>
      <c r="AB139" s="276">
        <v>0</v>
      </c>
      <c r="AC139" s="276"/>
      <c r="AD139" s="276">
        <v>0</v>
      </c>
      <c r="AE139" s="276"/>
      <c r="AF139" s="276">
        <v>0</v>
      </c>
      <c r="AG139" s="276">
        <v>0</v>
      </c>
      <c r="AH139" s="283" t="s">
        <v>86</v>
      </c>
      <c r="AI139" s="282" t="s">
        <v>491</v>
      </c>
      <c r="AJ139" s="281" t="s">
        <v>553</v>
      </c>
      <c r="AK139" s="280" t="s">
        <v>552</v>
      </c>
      <c r="AL139" s="276">
        <v>0.93</v>
      </c>
      <c r="AM139" s="279">
        <v>0</v>
      </c>
      <c r="AN139" s="276">
        <v>0</v>
      </c>
      <c r="AO139" s="276">
        <v>0.93</v>
      </c>
      <c r="AP139" s="279">
        <v>0</v>
      </c>
      <c r="AQ139" s="276">
        <v>0</v>
      </c>
      <c r="AR139" s="276">
        <v>0</v>
      </c>
      <c r="AS139" s="271">
        <v>2</v>
      </c>
      <c r="AT139" s="276">
        <v>0</v>
      </c>
      <c r="AU139" s="279">
        <v>0</v>
      </c>
      <c r="AV139" s="276">
        <v>0</v>
      </c>
      <c r="AW139" s="276">
        <v>0</v>
      </c>
      <c r="AX139" s="279">
        <v>0</v>
      </c>
      <c r="AY139" s="276">
        <v>0</v>
      </c>
      <c r="AZ139" s="276">
        <v>0</v>
      </c>
      <c r="BA139" s="278" t="s">
        <v>551</v>
      </c>
      <c r="BB139" s="276">
        <v>0</v>
      </c>
      <c r="BC139" s="279">
        <v>0</v>
      </c>
      <c r="BD139" s="276">
        <v>0</v>
      </c>
      <c r="BE139" s="276">
        <v>0</v>
      </c>
      <c r="BF139" s="279">
        <v>0</v>
      </c>
      <c r="BG139" s="276">
        <v>0</v>
      </c>
      <c r="BH139" s="276">
        <v>0</v>
      </c>
      <c r="BI139" s="278" t="s">
        <v>550</v>
      </c>
      <c r="BJ139" s="276">
        <v>0</v>
      </c>
      <c r="BK139" s="276">
        <v>0</v>
      </c>
      <c r="BL139" s="276">
        <v>0</v>
      </c>
      <c r="BM139" s="276">
        <v>0</v>
      </c>
      <c r="BN139" s="276">
        <v>0</v>
      </c>
      <c r="BO139" s="276">
        <v>0</v>
      </c>
      <c r="BP139" s="276">
        <v>0</v>
      </c>
    </row>
    <row r="140" spans="1:68" x14ac:dyDescent="0.35">
      <c r="A140" s="277" t="s">
        <v>563</v>
      </c>
      <c r="B140" s="277" t="s">
        <v>562</v>
      </c>
      <c r="C140" s="283" t="s">
        <v>258</v>
      </c>
      <c r="D140" s="277" t="s">
        <v>560</v>
      </c>
      <c r="F140" s="277" t="s">
        <v>859</v>
      </c>
      <c r="K140" s="277" t="s">
        <v>819</v>
      </c>
      <c r="L140" s="277" t="s">
        <v>557</v>
      </c>
      <c r="N140" s="277" t="s">
        <v>820</v>
      </c>
      <c r="O140" s="277" t="s">
        <v>819</v>
      </c>
      <c r="P140" s="277" t="s">
        <v>557</v>
      </c>
      <c r="Q140" s="277" t="s">
        <v>556</v>
      </c>
      <c r="R140" s="277" t="s">
        <v>819</v>
      </c>
      <c r="S140" s="276">
        <v>0</v>
      </c>
      <c r="T140" s="276">
        <v>0</v>
      </c>
      <c r="U140" s="276">
        <v>0</v>
      </c>
      <c r="V140" s="276">
        <v>0</v>
      </c>
      <c r="W140" s="276">
        <v>0</v>
      </c>
      <c r="X140" s="276">
        <v>0</v>
      </c>
      <c r="Y140" s="276">
        <v>0</v>
      </c>
      <c r="Z140" s="276">
        <v>0</v>
      </c>
      <c r="AA140" s="276">
        <v>0</v>
      </c>
      <c r="AB140" s="276">
        <v>0</v>
      </c>
      <c r="AC140" s="276"/>
      <c r="AD140" s="276">
        <v>0</v>
      </c>
      <c r="AE140" s="276"/>
      <c r="AF140" s="276">
        <v>0</v>
      </c>
      <c r="AG140" s="276">
        <v>0</v>
      </c>
      <c r="AH140" s="283" t="s">
        <v>86</v>
      </c>
      <c r="AI140" s="282" t="s">
        <v>435</v>
      </c>
      <c r="AJ140" s="281" t="s">
        <v>553</v>
      </c>
      <c r="AK140" s="280" t="s">
        <v>552</v>
      </c>
      <c r="AL140" s="276">
        <v>1.9</v>
      </c>
      <c r="AM140" s="279">
        <v>0</v>
      </c>
      <c r="AN140" s="276">
        <v>0</v>
      </c>
      <c r="AO140" s="276">
        <v>1.9</v>
      </c>
      <c r="AP140" s="279">
        <v>0</v>
      </c>
      <c r="AQ140" s="276">
        <v>0</v>
      </c>
      <c r="AR140" s="276">
        <v>0</v>
      </c>
      <c r="AS140" s="271">
        <v>2</v>
      </c>
      <c r="AT140" s="276">
        <v>0</v>
      </c>
      <c r="AU140" s="279">
        <v>0</v>
      </c>
      <c r="AV140" s="276">
        <v>0</v>
      </c>
      <c r="AW140" s="276">
        <v>0</v>
      </c>
      <c r="AX140" s="279">
        <v>0</v>
      </c>
      <c r="AY140" s="276">
        <v>0</v>
      </c>
      <c r="AZ140" s="276">
        <v>0</v>
      </c>
      <c r="BA140" s="278" t="s">
        <v>551</v>
      </c>
      <c r="BB140" s="276">
        <v>0</v>
      </c>
      <c r="BC140" s="279">
        <v>0</v>
      </c>
      <c r="BD140" s="276">
        <v>0</v>
      </c>
      <c r="BE140" s="276">
        <v>0</v>
      </c>
      <c r="BF140" s="279">
        <v>0</v>
      </c>
      <c r="BG140" s="276">
        <v>0</v>
      </c>
      <c r="BH140" s="276">
        <v>0</v>
      </c>
      <c r="BI140" s="278" t="s">
        <v>550</v>
      </c>
      <c r="BJ140" s="276">
        <v>0</v>
      </c>
      <c r="BK140" s="276">
        <v>0</v>
      </c>
      <c r="BL140" s="276">
        <v>0</v>
      </c>
      <c r="BM140" s="276">
        <v>0</v>
      </c>
      <c r="BN140" s="276">
        <v>0</v>
      </c>
      <c r="BO140" s="276">
        <v>0</v>
      </c>
      <c r="BP140" s="276">
        <v>0</v>
      </c>
    </row>
    <row r="141" spans="1:68" x14ac:dyDescent="0.35">
      <c r="A141" s="277" t="s">
        <v>563</v>
      </c>
      <c r="B141" s="277" t="s">
        <v>562</v>
      </c>
      <c r="C141" s="283" t="s">
        <v>259</v>
      </c>
      <c r="D141" s="277" t="s">
        <v>560</v>
      </c>
      <c r="F141" s="277" t="s">
        <v>858</v>
      </c>
      <c r="K141" s="277" t="s">
        <v>819</v>
      </c>
      <c r="L141" s="277" t="s">
        <v>557</v>
      </c>
      <c r="N141" s="277" t="s">
        <v>820</v>
      </c>
      <c r="O141" s="277" t="s">
        <v>819</v>
      </c>
      <c r="P141" s="277" t="s">
        <v>557</v>
      </c>
      <c r="Q141" s="277" t="s">
        <v>556</v>
      </c>
      <c r="R141" s="277" t="s">
        <v>819</v>
      </c>
      <c r="S141" s="276">
        <v>0</v>
      </c>
      <c r="T141" s="276">
        <v>0</v>
      </c>
      <c r="U141" s="276">
        <v>0</v>
      </c>
      <c r="V141" s="276">
        <v>0</v>
      </c>
      <c r="W141" s="276">
        <v>0</v>
      </c>
      <c r="X141" s="276">
        <v>0</v>
      </c>
      <c r="Y141" s="276">
        <v>0</v>
      </c>
      <c r="Z141" s="276">
        <v>0</v>
      </c>
      <c r="AA141" s="276">
        <v>0</v>
      </c>
      <c r="AB141" s="276">
        <v>0</v>
      </c>
      <c r="AC141" s="276"/>
      <c r="AD141" s="276">
        <v>0</v>
      </c>
      <c r="AE141" s="276"/>
      <c r="AF141" s="276">
        <v>0</v>
      </c>
      <c r="AG141" s="276">
        <v>0</v>
      </c>
      <c r="AH141" s="283" t="s">
        <v>86</v>
      </c>
      <c r="AI141" s="282" t="s">
        <v>438</v>
      </c>
      <c r="AJ141" s="281" t="s">
        <v>553</v>
      </c>
      <c r="AK141" s="280" t="s">
        <v>552</v>
      </c>
      <c r="AL141" s="276">
        <v>0.97</v>
      </c>
      <c r="AM141" s="279">
        <v>0</v>
      </c>
      <c r="AN141" s="276">
        <v>0</v>
      </c>
      <c r="AO141" s="276">
        <v>0.97</v>
      </c>
      <c r="AP141" s="279">
        <v>0</v>
      </c>
      <c r="AQ141" s="276">
        <v>0</v>
      </c>
      <c r="AR141" s="276">
        <v>0</v>
      </c>
      <c r="AS141" s="271">
        <v>2</v>
      </c>
      <c r="AT141" s="276">
        <v>0</v>
      </c>
      <c r="AU141" s="279">
        <v>0</v>
      </c>
      <c r="AV141" s="276">
        <v>0</v>
      </c>
      <c r="AW141" s="276">
        <v>0</v>
      </c>
      <c r="AX141" s="279">
        <v>0</v>
      </c>
      <c r="AY141" s="276">
        <v>0</v>
      </c>
      <c r="AZ141" s="276">
        <v>0</v>
      </c>
      <c r="BA141" s="278" t="s">
        <v>551</v>
      </c>
      <c r="BB141" s="276">
        <v>0</v>
      </c>
      <c r="BC141" s="279">
        <v>0</v>
      </c>
      <c r="BD141" s="276">
        <v>0</v>
      </c>
      <c r="BE141" s="276">
        <v>0</v>
      </c>
      <c r="BF141" s="279">
        <v>0</v>
      </c>
      <c r="BG141" s="276">
        <v>0</v>
      </c>
      <c r="BH141" s="276">
        <v>0</v>
      </c>
      <c r="BI141" s="278" t="s">
        <v>550</v>
      </c>
      <c r="BJ141" s="276">
        <v>0</v>
      </c>
      <c r="BK141" s="276">
        <v>0</v>
      </c>
      <c r="BL141" s="276">
        <v>0</v>
      </c>
      <c r="BM141" s="276">
        <v>0</v>
      </c>
      <c r="BN141" s="276">
        <v>0</v>
      </c>
      <c r="BO141" s="276">
        <v>0</v>
      </c>
      <c r="BP141" s="276">
        <v>0</v>
      </c>
    </row>
    <row r="142" spans="1:68" x14ac:dyDescent="0.35">
      <c r="A142" s="277" t="s">
        <v>563</v>
      </c>
      <c r="B142" s="277" t="s">
        <v>562</v>
      </c>
      <c r="C142" s="283" t="s">
        <v>491</v>
      </c>
      <c r="D142" s="277" t="s">
        <v>560</v>
      </c>
      <c r="F142" s="277" t="s">
        <v>490</v>
      </c>
      <c r="K142" s="277" t="s">
        <v>819</v>
      </c>
      <c r="L142" s="277" t="s">
        <v>557</v>
      </c>
      <c r="N142" s="277" t="s">
        <v>820</v>
      </c>
      <c r="O142" s="277" t="s">
        <v>819</v>
      </c>
      <c r="P142" s="277" t="s">
        <v>557</v>
      </c>
      <c r="Q142" s="277" t="s">
        <v>556</v>
      </c>
      <c r="R142" s="277" t="s">
        <v>819</v>
      </c>
      <c r="S142" s="276">
        <v>0</v>
      </c>
      <c r="T142" s="276">
        <v>0</v>
      </c>
      <c r="U142" s="276">
        <v>0</v>
      </c>
      <c r="V142" s="276">
        <v>0</v>
      </c>
      <c r="W142" s="276">
        <v>0</v>
      </c>
      <c r="X142" s="276">
        <v>0</v>
      </c>
      <c r="Y142" s="276">
        <v>0</v>
      </c>
      <c r="Z142" s="276">
        <v>0</v>
      </c>
      <c r="AA142" s="276">
        <v>0</v>
      </c>
      <c r="AB142" s="276">
        <v>0</v>
      </c>
      <c r="AC142" s="276"/>
      <c r="AD142" s="276">
        <v>0</v>
      </c>
      <c r="AE142" s="276"/>
      <c r="AF142" s="276">
        <v>0</v>
      </c>
      <c r="AG142" s="276">
        <v>0</v>
      </c>
      <c r="AH142" s="283" t="s">
        <v>483</v>
      </c>
      <c r="AJ142" s="281" t="s">
        <v>553</v>
      </c>
      <c r="AK142" s="280" t="s">
        <v>552</v>
      </c>
      <c r="AL142" s="276">
        <v>0.56999999999999995</v>
      </c>
      <c r="AM142" s="279">
        <v>0</v>
      </c>
      <c r="AN142" s="276">
        <v>0</v>
      </c>
      <c r="AO142" s="276">
        <v>0.56999999999999995</v>
      </c>
      <c r="AP142" s="279">
        <v>0</v>
      </c>
      <c r="AQ142" s="276">
        <v>0</v>
      </c>
      <c r="AR142" s="276">
        <v>0</v>
      </c>
      <c r="AS142" s="271">
        <v>2</v>
      </c>
      <c r="AT142" s="276">
        <v>0</v>
      </c>
      <c r="AU142" s="279">
        <v>0</v>
      </c>
      <c r="AV142" s="276">
        <v>0</v>
      </c>
      <c r="AW142" s="276">
        <v>0</v>
      </c>
      <c r="AX142" s="279">
        <v>0</v>
      </c>
      <c r="AY142" s="276">
        <v>0</v>
      </c>
      <c r="AZ142" s="276">
        <v>0</v>
      </c>
      <c r="BA142" s="278" t="s">
        <v>551</v>
      </c>
      <c r="BB142" s="276">
        <v>0</v>
      </c>
      <c r="BC142" s="279">
        <v>0</v>
      </c>
      <c r="BD142" s="276">
        <v>0</v>
      </c>
      <c r="BE142" s="276">
        <v>0</v>
      </c>
      <c r="BF142" s="279">
        <v>0</v>
      </c>
      <c r="BG142" s="276">
        <v>0</v>
      </c>
      <c r="BH142" s="276">
        <v>0</v>
      </c>
      <c r="BI142" s="278" t="s">
        <v>550</v>
      </c>
      <c r="BJ142" s="276">
        <v>0</v>
      </c>
      <c r="BK142" s="276">
        <v>0</v>
      </c>
      <c r="BL142" s="276">
        <v>0</v>
      </c>
      <c r="BM142" s="276">
        <v>0</v>
      </c>
      <c r="BN142" s="276">
        <v>0</v>
      </c>
      <c r="BO142" s="276">
        <v>0</v>
      </c>
      <c r="BP142" s="276">
        <v>0</v>
      </c>
    </row>
    <row r="143" spans="1:68" x14ac:dyDescent="0.35">
      <c r="A143" s="277" t="s">
        <v>563</v>
      </c>
      <c r="B143" s="277" t="s">
        <v>562</v>
      </c>
      <c r="C143" s="283" t="s">
        <v>435</v>
      </c>
      <c r="D143" s="277" t="s">
        <v>560</v>
      </c>
      <c r="F143" s="277" t="s">
        <v>857</v>
      </c>
      <c r="K143" s="277" t="s">
        <v>819</v>
      </c>
      <c r="L143" s="277" t="s">
        <v>557</v>
      </c>
      <c r="N143" s="277" t="s">
        <v>820</v>
      </c>
      <c r="O143" s="277" t="s">
        <v>819</v>
      </c>
      <c r="P143" s="277" t="s">
        <v>557</v>
      </c>
      <c r="Q143" s="277" t="s">
        <v>556</v>
      </c>
      <c r="R143" s="277" t="s">
        <v>819</v>
      </c>
      <c r="S143" s="276">
        <v>0</v>
      </c>
      <c r="T143" s="276">
        <v>0</v>
      </c>
      <c r="U143" s="276">
        <v>0</v>
      </c>
      <c r="V143" s="276">
        <v>0</v>
      </c>
      <c r="W143" s="276">
        <v>0</v>
      </c>
      <c r="X143" s="276">
        <v>0</v>
      </c>
      <c r="Y143" s="276">
        <v>0</v>
      </c>
      <c r="Z143" s="276">
        <v>0</v>
      </c>
      <c r="AA143" s="276">
        <v>0</v>
      </c>
      <c r="AB143" s="276">
        <v>0</v>
      </c>
      <c r="AC143" s="276"/>
      <c r="AD143" s="276">
        <v>0</v>
      </c>
      <c r="AE143" s="276"/>
      <c r="AF143" s="276">
        <v>0</v>
      </c>
      <c r="AG143" s="276">
        <v>0</v>
      </c>
      <c r="AH143" s="283" t="s">
        <v>483</v>
      </c>
      <c r="AJ143" s="281" t="s">
        <v>553</v>
      </c>
      <c r="AK143" s="280" t="s">
        <v>552</v>
      </c>
      <c r="AL143" s="276">
        <v>1.01</v>
      </c>
      <c r="AM143" s="279">
        <v>0</v>
      </c>
      <c r="AN143" s="276">
        <v>0</v>
      </c>
      <c r="AO143" s="276">
        <v>1.01</v>
      </c>
      <c r="AP143" s="279">
        <v>0</v>
      </c>
      <c r="AQ143" s="276">
        <v>0</v>
      </c>
      <c r="AR143" s="276">
        <v>0</v>
      </c>
      <c r="AS143" s="271">
        <v>2</v>
      </c>
      <c r="AT143" s="276">
        <v>0</v>
      </c>
      <c r="AU143" s="279">
        <v>0</v>
      </c>
      <c r="AV143" s="276">
        <v>0</v>
      </c>
      <c r="AW143" s="276">
        <v>0</v>
      </c>
      <c r="AX143" s="279">
        <v>0</v>
      </c>
      <c r="AY143" s="276">
        <v>0</v>
      </c>
      <c r="AZ143" s="276">
        <v>0</v>
      </c>
      <c r="BA143" s="278" t="s">
        <v>551</v>
      </c>
      <c r="BB143" s="276">
        <v>0</v>
      </c>
      <c r="BC143" s="279">
        <v>0</v>
      </c>
      <c r="BD143" s="276">
        <v>0</v>
      </c>
      <c r="BE143" s="276">
        <v>0</v>
      </c>
      <c r="BF143" s="279">
        <v>0</v>
      </c>
      <c r="BG143" s="276">
        <v>0</v>
      </c>
      <c r="BH143" s="276">
        <v>0</v>
      </c>
      <c r="BI143" s="278" t="s">
        <v>550</v>
      </c>
      <c r="BJ143" s="276">
        <v>0</v>
      </c>
      <c r="BK143" s="276">
        <v>0</v>
      </c>
      <c r="BL143" s="276">
        <v>0</v>
      </c>
      <c r="BM143" s="276">
        <v>0</v>
      </c>
      <c r="BN143" s="276">
        <v>0</v>
      </c>
      <c r="BO143" s="276">
        <v>0</v>
      </c>
      <c r="BP143" s="276">
        <v>0</v>
      </c>
    </row>
    <row r="144" spans="1:68" x14ac:dyDescent="0.35">
      <c r="A144" s="277" t="s">
        <v>563</v>
      </c>
      <c r="B144" s="277" t="s">
        <v>562</v>
      </c>
      <c r="C144" s="283" t="s">
        <v>438</v>
      </c>
      <c r="D144" s="277" t="s">
        <v>560</v>
      </c>
      <c r="F144" s="277" t="s">
        <v>856</v>
      </c>
      <c r="K144" s="277" t="s">
        <v>819</v>
      </c>
      <c r="L144" s="277" t="s">
        <v>557</v>
      </c>
      <c r="N144" s="277" t="s">
        <v>820</v>
      </c>
      <c r="O144" s="277" t="s">
        <v>819</v>
      </c>
      <c r="P144" s="277" t="s">
        <v>557</v>
      </c>
      <c r="Q144" s="277" t="s">
        <v>556</v>
      </c>
      <c r="R144" s="277" t="s">
        <v>819</v>
      </c>
      <c r="S144" s="276">
        <v>0</v>
      </c>
      <c r="T144" s="276">
        <v>0</v>
      </c>
      <c r="U144" s="276">
        <v>0</v>
      </c>
      <c r="V144" s="276">
        <v>0</v>
      </c>
      <c r="W144" s="276">
        <v>0</v>
      </c>
      <c r="X144" s="276">
        <v>0</v>
      </c>
      <c r="Y144" s="276">
        <v>0</v>
      </c>
      <c r="Z144" s="276">
        <v>0</v>
      </c>
      <c r="AA144" s="276">
        <v>0</v>
      </c>
      <c r="AB144" s="276">
        <v>0</v>
      </c>
      <c r="AC144" s="276"/>
      <c r="AD144" s="276">
        <v>0</v>
      </c>
      <c r="AE144" s="276"/>
      <c r="AF144" s="276">
        <v>0</v>
      </c>
      <c r="AG144" s="276">
        <v>0</v>
      </c>
      <c r="AH144" s="283" t="s">
        <v>483</v>
      </c>
      <c r="AJ144" s="281" t="s">
        <v>553</v>
      </c>
      <c r="AK144" s="280" t="s">
        <v>552</v>
      </c>
      <c r="AL144" s="276">
        <v>0.67</v>
      </c>
      <c r="AM144" s="279">
        <v>0</v>
      </c>
      <c r="AN144" s="276">
        <v>0</v>
      </c>
      <c r="AO144" s="276">
        <v>0.67</v>
      </c>
      <c r="AP144" s="279">
        <v>0</v>
      </c>
      <c r="AQ144" s="276">
        <v>0</v>
      </c>
      <c r="AR144" s="276">
        <v>0</v>
      </c>
      <c r="AS144" s="271">
        <v>2</v>
      </c>
      <c r="AT144" s="276">
        <v>0</v>
      </c>
      <c r="AU144" s="279">
        <v>0</v>
      </c>
      <c r="AV144" s="276">
        <v>0</v>
      </c>
      <c r="AW144" s="276">
        <v>0</v>
      </c>
      <c r="AX144" s="279">
        <v>0</v>
      </c>
      <c r="AY144" s="276">
        <v>0</v>
      </c>
      <c r="AZ144" s="276">
        <v>0</v>
      </c>
      <c r="BA144" s="278" t="s">
        <v>551</v>
      </c>
      <c r="BB144" s="276">
        <v>0</v>
      </c>
      <c r="BC144" s="279">
        <v>0</v>
      </c>
      <c r="BD144" s="276">
        <v>0</v>
      </c>
      <c r="BE144" s="276">
        <v>0</v>
      </c>
      <c r="BF144" s="279">
        <v>0</v>
      </c>
      <c r="BG144" s="276">
        <v>0</v>
      </c>
      <c r="BH144" s="276">
        <v>0</v>
      </c>
      <c r="BI144" s="278" t="s">
        <v>550</v>
      </c>
      <c r="BJ144" s="276">
        <v>0</v>
      </c>
      <c r="BK144" s="276">
        <v>0</v>
      </c>
      <c r="BL144" s="276">
        <v>0</v>
      </c>
      <c r="BM144" s="276">
        <v>0</v>
      </c>
      <c r="BN144" s="276">
        <v>0</v>
      </c>
      <c r="BO144" s="276">
        <v>0</v>
      </c>
      <c r="BP144" s="276">
        <v>0</v>
      </c>
    </row>
    <row r="145" spans="1:68" x14ac:dyDescent="0.35">
      <c r="A145" s="277" t="s">
        <v>563</v>
      </c>
      <c r="B145" s="277" t="s">
        <v>562</v>
      </c>
      <c r="C145" s="283" t="s">
        <v>266</v>
      </c>
      <c r="D145" s="277" t="s">
        <v>560</v>
      </c>
      <c r="F145" s="277" t="s">
        <v>855</v>
      </c>
      <c r="K145" s="277" t="s">
        <v>819</v>
      </c>
      <c r="L145" s="277" t="s">
        <v>557</v>
      </c>
      <c r="N145" s="277" t="s">
        <v>820</v>
      </c>
      <c r="O145" s="277" t="s">
        <v>819</v>
      </c>
      <c r="P145" s="277" t="s">
        <v>557</v>
      </c>
      <c r="Q145" s="277" t="s">
        <v>556</v>
      </c>
      <c r="R145" s="277" t="s">
        <v>819</v>
      </c>
      <c r="S145" s="276">
        <v>0</v>
      </c>
      <c r="T145" s="276">
        <v>0</v>
      </c>
      <c r="U145" s="276">
        <v>0</v>
      </c>
      <c r="V145" s="276">
        <v>0</v>
      </c>
      <c r="W145" s="276">
        <v>0</v>
      </c>
      <c r="X145" s="276">
        <v>0</v>
      </c>
      <c r="Y145" s="276">
        <v>0</v>
      </c>
      <c r="Z145" s="276">
        <v>0</v>
      </c>
      <c r="AA145" s="276">
        <v>0</v>
      </c>
      <c r="AB145" s="276">
        <v>0</v>
      </c>
      <c r="AC145" s="276"/>
      <c r="AD145" s="276">
        <v>0</v>
      </c>
      <c r="AE145" s="276"/>
      <c r="AF145" s="276">
        <v>0</v>
      </c>
      <c r="AG145" s="276">
        <v>0</v>
      </c>
      <c r="AH145" s="283" t="s">
        <v>86</v>
      </c>
      <c r="AI145" s="282" t="s">
        <v>421</v>
      </c>
      <c r="AJ145" s="281" t="s">
        <v>553</v>
      </c>
      <c r="AK145" s="280" t="s">
        <v>552</v>
      </c>
      <c r="AL145" s="276">
        <v>1</v>
      </c>
      <c r="AM145" s="279">
        <v>0</v>
      </c>
      <c r="AN145" s="276">
        <v>0</v>
      </c>
      <c r="AO145" s="276">
        <v>1</v>
      </c>
      <c r="AP145" s="279">
        <v>0</v>
      </c>
      <c r="AQ145" s="276">
        <v>0</v>
      </c>
      <c r="AR145" s="276">
        <v>0</v>
      </c>
      <c r="AS145" s="271">
        <v>2</v>
      </c>
      <c r="AT145" s="276">
        <v>0</v>
      </c>
      <c r="AU145" s="279">
        <v>0</v>
      </c>
      <c r="AV145" s="276">
        <v>0</v>
      </c>
      <c r="AW145" s="276">
        <v>0</v>
      </c>
      <c r="AX145" s="279">
        <v>0</v>
      </c>
      <c r="AY145" s="276">
        <v>0</v>
      </c>
      <c r="AZ145" s="276">
        <v>0</v>
      </c>
      <c r="BA145" s="278" t="s">
        <v>551</v>
      </c>
      <c r="BB145" s="276">
        <v>0</v>
      </c>
      <c r="BC145" s="279">
        <v>0</v>
      </c>
      <c r="BD145" s="276">
        <v>0</v>
      </c>
      <c r="BE145" s="276">
        <v>0</v>
      </c>
      <c r="BF145" s="279">
        <v>0</v>
      </c>
      <c r="BG145" s="276">
        <v>0</v>
      </c>
      <c r="BH145" s="276">
        <v>0</v>
      </c>
      <c r="BI145" s="278" t="s">
        <v>550</v>
      </c>
      <c r="BJ145" s="276">
        <v>0</v>
      </c>
      <c r="BK145" s="276">
        <v>0</v>
      </c>
      <c r="BL145" s="276">
        <v>0</v>
      </c>
      <c r="BM145" s="276">
        <v>0</v>
      </c>
      <c r="BN145" s="276">
        <v>0</v>
      </c>
      <c r="BO145" s="276">
        <v>0</v>
      </c>
      <c r="BP145" s="276">
        <v>0</v>
      </c>
    </row>
    <row r="146" spans="1:68" x14ac:dyDescent="0.35">
      <c r="A146" s="277" t="s">
        <v>563</v>
      </c>
      <c r="B146" s="277" t="s">
        <v>562</v>
      </c>
      <c r="C146" s="283" t="s">
        <v>262</v>
      </c>
      <c r="D146" s="277" t="s">
        <v>560</v>
      </c>
      <c r="F146" s="277" t="s">
        <v>854</v>
      </c>
      <c r="K146" s="277" t="s">
        <v>819</v>
      </c>
      <c r="L146" s="277" t="s">
        <v>557</v>
      </c>
      <c r="N146" s="277" t="s">
        <v>820</v>
      </c>
      <c r="O146" s="277" t="s">
        <v>819</v>
      </c>
      <c r="P146" s="277" t="s">
        <v>557</v>
      </c>
      <c r="Q146" s="277" t="s">
        <v>556</v>
      </c>
      <c r="R146" s="277" t="s">
        <v>819</v>
      </c>
      <c r="S146" s="276">
        <v>1509.2</v>
      </c>
      <c r="T146" s="276">
        <v>0</v>
      </c>
      <c r="U146" s="276">
        <v>0</v>
      </c>
      <c r="V146" s="276">
        <v>0</v>
      </c>
      <c r="W146" s="276">
        <v>0</v>
      </c>
      <c r="X146" s="276">
        <v>0</v>
      </c>
      <c r="Y146" s="276">
        <v>0</v>
      </c>
      <c r="Z146" s="276">
        <v>0</v>
      </c>
      <c r="AA146" s="276">
        <v>0</v>
      </c>
      <c r="AB146" s="276">
        <v>0</v>
      </c>
      <c r="AC146" s="276"/>
      <c r="AD146" s="276">
        <v>0</v>
      </c>
      <c r="AE146" s="276"/>
      <c r="AF146" s="276">
        <v>0</v>
      </c>
      <c r="AG146" s="276">
        <v>0</v>
      </c>
      <c r="AH146" s="283" t="s">
        <v>483</v>
      </c>
      <c r="AJ146" s="281" t="s">
        <v>553</v>
      </c>
      <c r="AK146" s="280" t="s">
        <v>552</v>
      </c>
      <c r="AL146" s="276">
        <v>0</v>
      </c>
      <c r="AM146" s="279">
        <v>0</v>
      </c>
      <c r="AN146" s="276">
        <v>34.450000000000003</v>
      </c>
      <c r="AO146" s="276">
        <v>0</v>
      </c>
      <c r="AP146" s="279">
        <v>0</v>
      </c>
      <c r="AQ146" s="276">
        <v>0</v>
      </c>
      <c r="AR146" s="276">
        <v>0</v>
      </c>
      <c r="AS146" s="271">
        <v>2</v>
      </c>
      <c r="AT146" s="276">
        <v>0</v>
      </c>
      <c r="AU146" s="279">
        <v>0</v>
      </c>
      <c r="AV146" s="276">
        <v>0</v>
      </c>
      <c r="AW146" s="276">
        <v>0</v>
      </c>
      <c r="AX146" s="279">
        <v>0</v>
      </c>
      <c r="AY146" s="276">
        <v>0</v>
      </c>
      <c r="AZ146" s="276">
        <v>0</v>
      </c>
      <c r="BA146" s="278" t="s">
        <v>551</v>
      </c>
      <c r="BB146" s="276">
        <v>0</v>
      </c>
      <c r="BC146" s="279">
        <v>0</v>
      </c>
      <c r="BD146" s="276">
        <v>0</v>
      </c>
      <c r="BE146" s="276">
        <v>0</v>
      </c>
      <c r="BF146" s="279">
        <v>0</v>
      </c>
      <c r="BG146" s="276">
        <v>0</v>
      </c>
      <c r="BH146" s="276">
        <v>0</v>
      </c>
      <c r="BI146" s="278" t="s">
        <v>550</v>
      </c>
      <c r="BJ146" s="276">
        <v>0</v>
      </c>
      <c r="BK146" s="276">
        <v>0</v>
      </c>
      <c r="BL146" s="276">
        <v>0</v>
      </c>
      <c r="BM146" s="276">
        <v>0</v>
      </c>
      <c r="BN146" s="276">
        <v>0</v>
      </c>
      <c r="BO146" s="276">
        <v>0</v>
      </c>
      <c r="BP146" s="276">
        <v>0</v>
      </c>
    </row>
    <row r="147" spans="1:68" x14ac:dyDescent="0.35">
      <c r="A147" s="277" t="s">
        <v>563</v>
      </c>
      <c r="B147" s="277" t="s">
        <v>562</v>
      </c>
      <c r="C147" s="283" t="s">
        <v>263</v>
      </c>
      <c r="D147" s="277" t="s">
        <v>560</v>
      </c>
      <c r="F147" s="277" t="s">
        <v>853</v>
      </c>
      <c r="K147" s="277" t="s">
        <v>819</v>
      </c>
      <c r="L147" s="277" t="s">
        <v>557</v>
      </c>
      <c r="N147" s="277" t="s">
        <v>820</v>
      </c>
      <c r="O147" s="277" t="s">
        <v>819</v>
      </c>
      <c r="P147" s="277" t="s">
        <v>557</v>
      </c>
      <c r="Q147" s="277" t="s">
        <v>556</v>
      </c>
      <c r="R147" s="277" t="s">
        <v>819</v>
      </c>
      <c r="S147" s="276">
        <v>0</v>
      </c>
      <c r="T147" s="276">
        <v>0</v>
      </c>
      <c r="U147" s="276">
        <v>0</v>
      </c>
      <c r="V147" s="276">
        <v>0</v>
      </c>
      <c r="W147" s="276">
        <v>0</v>
      </c>
      <c r="X147" s="276">
        <v>0</v>
      </c>
      <c r="Y147" s="276">
        <v>0</v>
      </c>
      <c r="Z147" s="276">
        <v>0</v>
      </c>
      <c r="AA147" s="276">
        <v>0</v>
      </c>
      <c r="AB147" s="276">
        <v>0</v>
      </c>
      <c r="AC147" s="276"/>
      <c r="AD147" s="276">
        <v>0</v>
      </c>
      <c r="AE147" s="276"/>
      <c r="AF147" s="276">
        <v>0</v>
      </c>
      <c r="AG147" s="276">
        <v>0</v>
      </c>
      <c r="AH147" s="283" t="s">
        <v>483</v>
      </c>
      <c r="AJ147" s="281" t="s">
        <v>553</v>
      </c>
      <c r="AK147" s="280" t="s">
        <v>552</v>
      </c>
      <c r="AL147" s="276">
        <v>0</v>
      </c>
      <c r="AM147" s="279">
        <v>0</v>
      </c>
      <c r="AN147" s="276">
        <v>98.43</v>
      </c>
      <c r="AO147" s="276">
        <v>0</v>
      </c>
      <c r="AP147" s="279">
        <v>0</v>
      </c>
      <c r="AQ147" s="276">
        <v>0</v>
      </c>
      <c r="AR147" s="276">
        <v>0</v>
      </c>
      <c r="AS147" s="271">
        <v>2</v>
      </c>
      <c r="AT147" s="276">
        <v>0</v>
      </c>
      <c r="AU147" s="279">
        <v>0</v>
      </c>
      <c r="AV147" s="276">
        <v>0</v>
      </c>
      <c r="AW147" s="276">
        <v>0</v>
      </c>
      <c r="AX147" s="279">
        <v>0</v>
      </c>
      <c r="AY147" s="276">
        <v>0</v>
      </c>
      <c r="AZ147" s="276">
        <v>0</v>
      </c>
      <c r="BA147" s="278" t="s">
        <v>551</v>
      </c>
      <c r="BB147" s="276">
        <v>0</v>
      </c>
      <c r="BC147" s="279">
        <v>0</v>
      </c>
      <c r="BD147" s="276">
        <v>0</v>
      </c>
      <c r="BE147" s="276">
        <v>0</v>
      </c>
      <c r="BF147" s="279">
        <v>0</v>
      </c>
      <c r="BG147" s="276">
        <v>0</v>
      </c>
      <c r="BH147" s="276">
        <v>0</v>
      </c>
      <c r="BI147" s="278" t="s">
        <v>550</v>
      </c>
      <c r="BJ147" s="276">
        <v>0</v>
      </c>
      <c r="BK147" s="276">
        <v>0</v>
      </c>
      <c r="BL147" s="276">
        <v>0</v>
      </c>
      <c r="BM147" s="276">
        <v>0</v>
      </c>
      <c r="BN147" s="276">
        <v>0</v>
      </c>
      <c r="BO147" s="276">
        <v>0</v>
      </c>
      <c r="BP147" s="276">
        <v>0</v>
      </c>
    </row>
    <row r="148" spans="1:68" x14ac:dyDescent="0.35">
      <c r="A148" s="277" t="s">
        <v>563</v>
      </c>
      <c r="B148" s="277" t="s">
        <v>562</v>
      </c>
      <c r="C148" s="283" t="s">
        <v>264</v>
      </c>
      <c r="D148" s="277" t="s">
        <v>560</v>
      </c>
      <c r="F148" s="277" t="s">
        <v>852</v>
      </c>
      <c r="K148" s="277" t="s">
        <v>819</v>
      </c>
      <c r="L148" s="277" t="s">
        <v>557</v>
      </c>
      <c r="N148" s="277" t="s">
        <v>820</v>
      </c>
      <c r="O148" s="277" t="s">
        <v>819</v>
      </c>
      <c r="P148" s="277" t="s">
        <v>557</v>
      </c>
      <c r="Q148" s="277" t="s">
        <v>556</v>
      </c>
      <c r="R148" s="277" t="s">
        <v>819</v>
      </c>
      <c r="S148" s="276">
        <v>0</v>
      </c>
      <c r="T148" s="276">
        <v>0</v>
      </c>
      <c r="U148" s="276">
        <v>0</v>
      </c>
      <c r="V148" s="276">
        <v>0</v>
      </c>
      <c r="W148" s="276">
        <v>0</v>
      </c>
      <c r="X148" s="276">
        <v>0</v>
      </c>
      <c r="Y148" s="276">
        <v>0</v>
      </c>
      <c r="Z148" s="276">
        <v>0</v>
      </c>
      <c r="AA148" s="276">
        <v>0</v>
      </c>
      <c r="AB148" s="276">
        <v>0</v>
      </c>
      <c r="AC148" s="276"/>
      <c r="AD148" s="276">
        <v>0</v>
      </c>
      <c r="AE148" s="276"/>
      <c r="AF148" s="276">
        <v>0</v>
      </c>
      <c r="AG148" s="276">
        <v>0</v>
      </c>
      <c r="AH148" s="283" t="s">
        <v>86</v>
      </c>
      <c r="AI148" s="282" t="s">
        <v>423</v>
      </c>
      <c r="AJ148" s="281" t="s">
        <v>553</v>
      </c>
      <c r="AK148" s="280" t="s">
        <v>552</v>
      </c>
      <c r="AL148" s="276">
        <v>1.9</v>
      </c>
      <c r="AM148" s="279">
        <v>0</v>
      </c>
      <c r="AN148" s="276">
        <v>0</v>
      </c>
      <c r="AO148" s="276">
        <v>1.9</v>
      </c>
      <c r="AP148" s="279">
        <v>0</v>
      </c>
      <c r="AQ148" s="276">
        <v>0</v>
      </c>
      <c r="AR148" s="276">
        <v>0</v>
      </c>
      <c r="AS148" s="271">
        <v>2</v>
      </c>
      <c r="AT148" s="276">
        <v>0</v>
      </c>
      <c r="AU148" s="279">
        <v>0</v>
      </c>
      <c r="AV148" s="276">
        <v>0</v>
      </c>
      <c r="AW148" s="276">
        <v>0</v>
      </c>
      <c r="AX148" s="279">
        <v>0</v>
      </c>
      <c r="AY148" s="276">
        <v>0</v>
      </c>
      <c r="AZ148" s="276">
        <v>0</v>
      </c>
      <c r="BA148" s="278" t="s">
        <v>551</v>
      </c>
      <c r="BB148" s="276">
        <v>0</v>
      </c>
      <c r="BC148" s="279">
        <v>0</v>
      </c>
      <c r="BD148" s="276">
        <v>0</v>
      </c>
      <c r="BE148" s="276">
        <v>0</v>
      </c>
      <c r="BF148" s="279">
        <v>0</v>
      </c>
      <c r="BG148" s="276">
        <v>0</v>
      </c>
      <c r="BH148" s="276">
        <v>0</v>
      </c>
      <c r="BI148" s="278" t="s">
        <v>550</v>
      </c>
      <c r="BJ148" s="276">
        <v>0</v>
      </c>
      <c r="BK148" s="276">
        <v>0</v>
      </c>
      <c r="BL148" s="276">
        <v>0</v>
      </c>
      <c r="BM148" s="276">
        <v>0</v>
      </c>
      <c r="BN148" s="276">
        <v>0</v>
      </c>
      <c r="BO148" s="276">
        <v>0</v>
      </c>
      <c r="BP148" s="276">
        <v>0</v>
      </c>
    </row>
    <row r="149" spans="1:68" x14ac:dyDescent="0.35">
      <c r="A149" s="277" t="s">
        <v>563</v>
      </c>
      <c r="B149" s="277" t="s">
        <v>562</v>
      </c>
      <c r="C149" s="283" t="s">
        <v>265</v>
      </c>
      <c r="D149" s="277" t="s">
        <v>560</v>
      </c>
      <c r="F149" s="277" t="s">
        <v>851</v>
      </c>
      <c r="K149" s="277" t="s">
        <v>819</v>
      </c>
      <c r="L149" s="277" t="s">
        <v>557</v>
      </c>
      <c r="N149" s="277" t="s">
        <v>820</v>
      </c>
      <c r="O149" s="277" t="s">
        <v>819</v>
      </c>
      <c r="P149" s="277" t="s">
        <v>557</v>
      </c>
      <c r="Q149" s="277" t="s">
        <v>556</v>
      </c>
      <c r="R149" s="277" t="s">
        <v>819</v>
      </c>
      <c r="S149" s="276">
        <v>0</v>
      </c>
      <c r="T149" s="276">
        <v>0</v>
      </c>
      <c r="U149" s="276">
        <v>0</v>
      </c>
      <c r="V149" s="276">
        <v>0</v>
      </c>
      <c r="W149" s="276">
        <v>0</v>
      </c>
      <c r="X149" s="276">
        <v>0</v>
      </c>
      <c r="Y149" s="276">
        <v>0</v>
      </c>
      <c r="Z149" s="276">
        <v>0</v>
      </c>
      <c r="AA149" s="276">
        <v>0</v>
      </c>
      <c r="AB149" s="276">
        <v>0</v>
      </c>
      <c r="AC149" s="276"/>
      <c r="AD149" s="276">
        <v>0</v>
      </c>
      <c r="AE149" s="276"/>
      <c r="AF149" s="276">
        <v>0</v>
      </c>
      <c r="AG149" s="276">
        <v>0</v>
      </c>
      <c r="AH149" s="283" t="s">
        <v>86</v>
      </c>
      <c r="AI149" s="282" t="s">
        <v>425</v>
      </c>
      <c r="AJ149" s="281" t="s">
        <v>553</v>
      </c>
      <c r="AK149" s="280" t="s">
        <v>552</v>
      </c>
      <c r="AL149" s="276">
        <v>1.05</v>
      </c>
      <c r="AM149" s="279">
        <v>0</v>
      </c>
      <c r="AN149" s="276">
        <v>0</v>
      </c>
      <c r="AO149" s="276">
        <v>1.05</v>
      </c>
      <c r="AP149" s="279">
        <v>0</v>
      </c>
      <c r="AQ149" s="276">
        <v>0</v>
      </c>
      <c r="AR149" s="276">
        <v>0</v>
      </c>
      <c r="AS149" s="271">
        <v>2</v>
      </c>
      <c r="AT149" s="276">
        <v>0</v>
      </c>
      <c r="AU149" s="279">
        <v>0</v>
      </c>
      <c r="AV149" s="276">
        <v>0</v>
      </c>
      <c r="AW149" s="276">
        <v>0</v>
      </c>
      <c r="AX149" s="279">
        <v>0</v>
      </c>
      <c r="AY149" s="276">
        <v>0</v>
      </c>
      <c r="AZ149" s="276">
        <v>0</v>
      </c>
      <c r="BA149" s="278" t="s">
        <v>551</v>
      </c>
      <c r="BB149" s="276">
        <v>0</v>
      </c>
      <c r="BC149" s="279">
        <v>0</v>
      </c>
      <c r="BD149" s="276">
        <v>0</v>
      </c>
      <c r="BE149" s="276">
        <v>0</v>
      </c>
      <c r="BF149" s="279">
        <v>0</v>
      </c>
      <c r="BG149" s="276">
        <v>0</v>
      </c>
      <c r="BH149" s="276">
        <v>0</v>
      </c>
      <c r="BI149" s="278" t="s">
        <v>550</v>
      </c>
      <c r="BJ149" s="276">
        <v>0</v>
      </c>
      <c r="BK149" s="276">
        <v>0</v>
      </c>
      <c r="BL149" s="276">
        <v>0</v>
      </c>
      <c r="BM149" s="276">
        <v>0</v>
      </c>
      <c r="BN149" s="276">
        <v>0</v>
      </c>
      <c r="BO149" s="276">
        <v>0</v>
      </c>
      <c r="BP149" s="276">
        <v>0</v>
      </c>
    </row>
    <row r="150" spans="1:68" x14ac:dyDescent="0.35">
      <c r="A150" s="277" t="s">
        <v>563</v>
      </c>
      <c r="B150" s="277" t="s">
        <v>562</v>
      </c>
      <c r="C150" s="283" t="s">
        <v>421</v>
      </c>
      <c r="D150" s="277" t="s">
        <v>560</v>
      </c>
      <c r="F150" s="277" t="s">
        <v>850</v>
      </c>
      <c r="K150" s="277" t="s">
        <v>819</v>
      </c>
      <c r="L150" s="277" t="s">
        <v>557</v>
      </c>
      <c r="N150" s="277" t="s">
        <v>820</v>
      </c>
      <c r="O150" s="277" t="s">
        <v>819</v>
      </c>
      <c r="P150" s="277" t="s">
        <v>557</v>
      </c>
      <c r="Q150" s="277" t="s">
        <v>556</v>
      </c>
      <c r="R150" s="277" t="s">
        <v>819</v>
      </c>
      <c r="S150" s="276">
        <v>0</v>
      </c>
      <c r="T150" s="276">
        <v>0</v>
      </c>
      <c r="U150" s="276">
        <v>0</v>
      </c>
      <c r="V150" s="276">
        <v>0</v>
      </c>
      <c r="W150" s="276">
        <v>0</v>
      </c>
      <c r="X150" s="276">
        <v>0</v>
      </c>
      <c r="Y150" s="276">
        <v>0</v>
      </c>
      <c r="Z150" s="276">
        <v>0</v>
      </c>
      <c r="AA150" s="276">
        <v>0</v>
      </c>
      <c r="AB150" s="276">
        <v>0</v>
      </c>
      <c r="AC150" s="276"/>
      <c r="AD150" s="276">
        <v>0</v>
      </c>
      <c r="AE150" s="276"/>
      <c r="AF150" s="276">
        <v>0</v>
      </c>
      <c r="AG150" s="276">
        <v>0</v>
      </c>
      <c r="AH150" s="283" t="s">
        <v>483</v>
      </c>
      <c r="AJ150" s="281" t="s">
        <v>553</v>
      </c>
      <c r="AK150" s="280" t="s">
        <v>552</v>
      </c>
      <c r="AL150" s="276">
        <v>0.61</v>
      </c>
      <c r="AM150" s="279">
        <v>0</v>
      </c>
      <c r="AN150" s="276">
        <v>0</v>
      </c>
      <c r="AO150" s="276">
        <v>0.61</v>
      </c>
      <c r="AP150" s="279">
        <v>0</v>
      </c>
      <c r="AQ150" s="276">
        <v>0</v>
      </c>
      <c r="AR150" s="276">
        <v>0</v>
      </c>
      <c r="AS150" s="271">
        <v>2</v>
      </c>
      <c r="AT150" s="276">
        <v>0</v>
      </c>
      <c r="AU150" s="279">
        <v>0</v>
      </c>
      <c r="AV150" s="276">
        <v>0</v>
      </c>
      <c r="AW150" s="276">
        <v>0</v>
      </c>
      <c r="AX150" s="279">
        <v>0</v>
      </c>
      <c r="AY150" s="276">
        <v>0</v>
      </c>
      <c r="AZ150" s="276">
        <v>0</v>
      </c>
      <c r="BA150" s="278" t="s">
        <v>551</v>
      </c>
      <c r="BB150" s="276">
        <v>0</v>
      </c>
      <c r="BC150" s="279">
        <v>0</v>
      </c>
      <c r="BD150" s="276">
        <v>0</v>
      </c>
      <c r="BE150" s="276">
        <v>0</v>
      </c>
      <c r="BF150" s="279">
        <v>0</v>
      </c>
      <c r="BG150" s="276">
        <v>0</v>
      </c>
      <c r="BH150" s="276">
        <v>0</v>
      </c>
      <c r="BI150" s="278" t="s">
        <v>550</v>
      </c>
      <c r="BJ150" s="276">
        <v>0</v>
      </c>
      <c r="BK150" s="276">
        <v>0</v>
      </c>
      <c r="BL150" s="276">
        <v>0</v>
      </c>
      <c r="BM150" s="276">
        <v>0</v>
      </c>
      <c r="BN150" s="276">
        <v>0</v>
      </c>
      <c r="BO150" s="276">
        <v>0</v>
      </c>
      <c r="BP150" s="276">
        <v>0</v>
      </c>
    </row>
    <row r="151" spans="1:68" x14ac:dyDescent="0.35">
      <c r="A151" s="277" t="s">
        <v>563</v>
      </c>
      <c r="B151" s="277" t="s">
        <v>562</v>
      </c>
      <c r="C151" s="283" t="s">
        <v>423</v>
      </c>
      <c r="D151" s="277" t="s">
        <v>560</v>
      </c>
      <c r="F151" s="277" t="s">
        <v>849</v>
      </c>
      <c r="K151" s="277" t="s">
        <v>819</v>
      </c>
      <c r="L151" s="277" t="s">
        <v>557</v>
      </c>
      <c r="N151" s="277" t="s">
        <v>820</v>
      </c>
      <c r="O151" s="277" t="s">
        <v>819</v>
      </c>
      <c r="P151" s="277" t="s">
        <v>557</v>
      </c>
      <c r="Q151" s="277" t="s">
        <v>556</v>
      </c>
      <c r="R151" s="277" t="s">
        <v>819</v>
      </c>
      <c r="S151" s="276">
        <v>0</v>
      </c>
      <c r="T151" s="276">
        <v>0</v>
      </c>
      <c r="U151" s="276">
        <v>0</v>
      </c>
      <c r="V151" s="276">
        <v>0</v>
      </c>
      <c r="W151" s="276">
        <v>0</v>
      </c>
      <c r="X151" s="276">
        <v>0</v>
      </c>
      <c r="Y151" s="276">
        <v>0</v>
      </c>
      <c r="Z151" s="276">
        <v>0</v>
      </c>
      <c r="AA151" s="276">
        <v>0</v>
      </c>
      <c r="AB151" s="276">
        <v>0</v>
      </c>
      <c r="AC151" s="276"/>
      <c r="AD151" s="276">
        <v>0</v>
      </c>
      <c r="AE151" s="276"/>
      <c r="AF151" s="276">
        <v>0</v>
      </c>
      <c r="AG151" s="276">
        <v>0</v>
      </c>
      <c r="AH151" s="283" t="s">
        <v>483</v>
      </c>
      <c r="AJ151" s="281" t="s">
        <v>553</v>
      </c>
      <c r="AK151" s="280" t="s">
        <v>552</v>
      </c>
      <c r="AL151" s="276">
        <v>1.0900000000000001</v>
      </c>
      <c r="AM151" s="279">
        <v>0</v>
      </c>
      <c r="AN151" s="276">
        <v>0</v>
      </c>
      <c r="AO151" s="276">
        <v>1.0900000000000001</v>
      </c>
      <c r="AP151" s="279">
        <v>0</v>
      </c>
      <c r="AQ151" s="276">
        <v>0</v>
      </c>
      <c r="AR151" s="276">
        <v>0</v>
      </c>
      <c r="AS151" s="271">
        <v>2</v>
      </c>
      <c r="AT151" s="276">
        <v>0</v>
      </c>
      <c r="AU151" s="279">
        <v>0</v>
      </c>
      <c r="AV151" s="276">
        <v>0</v>
      </c>
      <c r="AW151" s="276">
        <v>0</v>
      </c>
      <c r="AX151" s="279">
        <v>0</v>
      </c>
      <c r="AY151" s="276">
        <v>0</v>
      </c>
      <c r="AZ151" s="276">
        <v>0</v>
      </c>
      <c r="BA151" s="278" t="s">
        <v>551</v>
      </c>
      <c r="BB151" s="276">
        <v>0</v>
      </c>
      <c r="BC151" s="279">
        <v>0</v>
      </c>
      <c r="BD151" s="276">
        <v>0</v>
      </c>
      <c r="BE151" s="276">
        <v>0</v>
      </c>
      <c r="BF151" s="279">
        <v>0</v>
      </c>
      <c r="BG151" s="276">
        <v>0</v>
      </c>
      <c r="BH151" s="276">
        <v>0</v>
      </c>
      <c r="BI151" s="278" t="s">
        <v>550</v>
      </c>
      <c r="BJ151" s="276">
        <v>0</v>
      </c>
      <c r="BK151" s="276">
        <v>0</v>
      </c>
      <c r="BL151" s="276">
        <v>0</v>
      </c>
      <c r="BM151" s="276">
        <v>0</v>
      </c>
      <c r="BN151" s="276">
        <v>0</v>
      </c>
      <c r="BO151" s="276">
        <v>0</v>
      </c>
      <c r="BP151" s="276">
        <v>0</v>
      </c>
    </row>
    <row r="152" spans="1:68" x14ac:dyDescent="0.35">
      <c r="A152" s="277" t="s">
        <v>563</v>
      </c>
      <c r="B152" s="277" t="s">
        <v>562</v>
      </c>
      <c r="C152" s="283" t="s">
        <v>425</v>
      </c>
      <c r="D152" s="277" t="s">
        <v>560</v>
      </c>
      <c r="F152" s="277" t="s">
        <v>848</v>
      </c>
      <c r="K152" s="277" t="s">
        <v>819</v>
      </c>
      <c r="L152" s="277" t="s">
        <v>557</v>
      </c>
      <c r="N152" s="277" t="s">
        <v>820</v>
      </c>
      <c r="O152" s="277" t="s">
        <v>819</v>
      </c>
      <c r="P152" s="277" t="s">
        <v>557</v>
      </c>
      <c r="Q152" s="277" t="s">
        <v>556</v>
      </c>
      <c r="R152" s="277" t="s">
        <v>819</v>
      </c>
      <c r="S152" s="276">
        <v>0</v>
      </c>
      <c r="T152" s="276">
        <v>0</v>
      </c>
      <c r="U152" s="276">
        <v>0</v>
      </c>
      <c r="V152" s="276">
        <v>0</v>
      </c>
      <c r="W152" s="276">
        <v>0</v>
      </c>
      <c r="X152" s="276">
        <v>0</v>
      </c>
      <c r="Y152" s="276">
        <v>0</v>
      </c>
      <c r="Z152" s="276">
        <v>0</v>
      </c>
      <c r="AA152" s="276">
        <v>0</v>
      </c>
      <c r="AB152" s="276">
        <v>0</v>
      </c>
      <c r="AC152" s="276"/>
      <c r="AD152" s="276">
        <v>0</v>
      </c>
      <c r="AE152" s="276"/>
      <c r="AF152" s="276">
        <v>0</v>
      </c>
      <c r="AG152" s="276">
        <v>0</v>
      </c>
      <c r="AH152" s="283" t="s">
        <v>483</v>
      </c>
      <c r="AJ152" s="281" t="s">
        <v>553</v>
      </c>
      <c r="AK152" s="280" t="s">
        <v>552</v>
      </c>
      <c r="AL152" s="276">
        <v>0.72</v>
      </c>
      <c r="AM152" s="279">
        <v>0</v>
      </c>
      <c r="AN152" s="276">
        <v>0</v>
      </c>
      <c r="AO152" s="276">
        <v>0.72</v>
      </c>
      <c r="AP152" s="279">
        <v>0</v>
      </c>
      <c r="AQ152" s="276">
        <v>0</v>
      </c>
      <c r="AR152" s="276">
        <v>0</v>
      </c>
      <c r="AS152" s="271">
        <v>2</v>
      </c>
      <c r="AT152" s="276">
        <v>0</v>
      </c>
      <c r="AU152" s="279">
        <v>0</v>
      </c>
      <c r="AV152" s="276">
        <v>0</v>
      </c>
      <c r="AW152" s="276">
        <v>0</v>
      </c>
      <c r="AX152" s="279">
        <v>0</v>
      </c>
      <c r="AY152" s="276">
        <v>0</v>
      </c>
      <c r="AZ152" s="276">
        <v>0</v>
      </c>
      <c r="BA152" s="278" t="s">
        <v>551</v>
      </c>
      <c r="BB152" s="276">
        <v>0</v>
      </c>
      <c r="BC152" s="279">
        <v>0</v>
      </c>
      <c r="BD152" s="276">
        <v>0</v>
      </c>
      <c r="BE152" s="276">
        <v>0</v>
      </c>
      <c r="BF152" s="279">
        <v>0</v>
      </c>
      <c r="BG152" s="276">
        <v>0</v>
      </c>
      <c r="BH152" s="276">
        <v>0</v>
      </c>
      <c r="BI152" s="278" t="s">
        <v>550</v>
      </c>
      <c r="BJ152" s="276">
        <v>0</v>
      </c>
      <c r="BK152" s="276">
        <v>0</v>
      </c>
      <c r="BL152" s="276">
        <v>0</v>
      </c>
      <c r="BM152" s="276">
        <v>0</v>
      </c>
      <c r="BN152" s="276">
        <v>0</v>
      </c>
      <c r="BO152" s="276">
        <v>0</v>
      </c>
      <c r="BP152" s="276">
        <v>0</v>
      </c>
    </row>
    <row r="153" spans="1:68" x14ac:dyDescent="0.35">
      <c r="A153" s="277" t="s">
        <v>563</v>
      </c>
      <c r="B153" s="277" t="s">
        <v>562</v>
      </c>
      <c r="C153" s="283" t="s">
        <v>268</v>
      </c>
      <c r="D153" s="277" t="s">
        <v>560</v>
      </c>
      <c r="F153" s="277" t="s">
        <v>847</v>
      </c>
      <c r="K153" s="277" t="s">
        <v>819</v>
      </c>
      <c r="L153" s="277" t="s">
        <v>557</v>
      </c>
      <c r="N153" s="277" t="s">
        <v>820</v>
      </c>
      <c r="O153" s="277" t="s">
        <v>819</v>
      </c>
      <c r="P153" s="277" t="s">
        <v>557</v>
      </c>
      <c r="Q153" s="277" t="s">
        <v>556</v>
      </c>
      <c r="R153" s="277" t="s">
        <v>819</v>
      </c>
      <c r="S153" s="276">
        <v>1131.9000000000001</v>
      </c>
      <c r="T153" s="276">
        <v>0</v>
      </c>
      <c r="U153" s="276">
        <v>0</v>
      </c>
      <c r="V153" s="276">
        <v>0</v>
      </c>
      <c r="W153" s="276">
        <v>0</v>
      </c>
      <c r="X153" s="276">
        <v>0</v>
      </c>
      <c r="Y153" s="276">
        <v>0</v>
      </c>
      <c r="Z153" s="276">
        <v>0</v>
      </c>
      <c r="AA153" s="276">
        <v>0</v>
      </c>
      <c r="AB153" s="276">
        <v>0</v>
      </c>
      <c r="AC153" s="276"/>
      <c r="AD153" s="276">
        <v>0</v>
      </c>
      <c r="AE153" s="276"/>
      <c r="AF153" s="276">
        <v>0</v>
      </c>
      <c r="AG153" s="276">
        <v>0</v>
      </c>
      <c r="AH153" s="283" t="s">
        <v>483</v>
      </c>
      <c r="AJ153" s="281" t="s">
        <v>553</v>
      </c>
      <c r="AK153" s="280" t="s">
        <v>552</v>
      </c>
      <c r="AL153" s="276">
        <v>0</v>
      </c>
      <c r="AM153" s="279">
        <v>0</v>
      </c>
      <c r="AN153" s="276">
        <v>37.89</v>
      </c>
      <c r="AO153" s="276">
        <v>0</v>
      </c>
      <c r="AP153" s="279">
        <v>0</v>
      </c>
      <c r="AQ153" s="276">
        <v>0</v>
      </c>
      <c r="AR153" s="276">
        <v>0</v>
      </c>
      <c r="AS153" s="271">
        <v>2</v>
      </c>
      <c r="AT153" s="276">
        <v>0</v>
      </c>
      <c r="AU153" s="279">
        <v>0</v>
      </c>
      <c r="AV153" s="276">
        <v>0</v>
      </c>
      <c r="AW153" s="276">
        <v>0</v>
      </c>
      <c r="AX153" s="279">
        <v>0</v>
      </c>
      <c r="AY153" s="276">
        <v>0</v>
      </c>
      <c r="AZ153" s="276">
        <v>0</v>
      </c>
      <c r="BA153" s="278" t="s">
        <v>551</v>
      </c>
      <c r="BB153" s="276">
        <v>0</v>
      </c>
      <c r="BC153" s="279">
        <v>0</v>
      </c>
      <c r="BD153" s="276">
        <v>0</v>
      </c>
      <c r="BE153" s="276">
        <v>0</v>
      </c>
      <c r="BF153" s="279">
        <v>0</v>
      </c>
      <c r="BG153" s="276">
        <v>0</v>
      </c>
      <c r="BH153" s="276">
        <v>0</v>
      </c>
      <c r="BI153" s="278" t="s">
        <v>550</v>
      </c>
      <c r="BJ153" s="276">
        <v>0</v>
      </c>
      <c r="BK153" s="276">
        <v>0</v>
      </c>
      <c r="BL153" s="276">
        <v>0</v>
      </c>
      <c r="BM153" s="276">
        <v>0</v>
      </c>
      <c r="BN153" s="276">
        <v>0</v>
      </c>
      <c r="BO153" s="276">
        <v>0</v>
      </c>
      <c r="BP153" s="276">
        <v>0</v>
      </c>
    </row>
    <row r="154" spans="1:68" x14ac:dyDescent="0.35">
      <c r="A154" s="277" t="s">
        <v>563</v>
      </c>
      <c r="B154" s="277" t="s">
        <v>562</v>
      </c>
      <c r="C154" s="283" t="s">
        <v>269</v>
      </c>
      <c r="D154" s="277" t="s">
        <v>560</v>
      </c>
      <c r="F154" s="277" t="s">
        <v>846</v>
      </c>
      <c r="K154" s="277" t="s">
        <v>819</v>
      </c>
      <c r="L154" s="277" t="s">
        <v>557</v>
      </c>
      <c r="N154" s="277" t="s">
        <v>820</v>
      </c>
      <c r="O154" s="277" t="s">
        <v>819</v>
      </c>
      <c r="P154" s="277" t="s">
        <v>557</v>
      </c>
      <c r="Q154" s="277" t="s">
        <v>556</v>
      </c>
      <c r="R154" s="277" t="s">
        <v>819</v>
      </c>
      <c r="S154" s="276">
        <v>0</v>
      </c>
      <c r="T154" s="276">
        <v>0</v>
      </c>
      <c r="U154" s="276">
        <v>0</v>
      </c>
      <c r="V154" s="276">
        <v>0</v>
      </c>
      <c r="W154" s="276">
        <v>0</v>
      </c>
      <c r="X154" s="276">
        <v>0</v>
      </c>
      <c r="Y154" s="276">
        <v>0</v>
      </c>
      <c r="Z154" s="276">
        <v>0</v>
      </c>
      <c r="AA154" s="276">
        <v>0</v>
      </c>
      <c r="AB154" s="276">
        <v>0</v>
      </c>
      <c r="AC154" s="276"/>
      <c r="AD154" s="276">
        <v>0</v>
      </c>
      <c r="AE154" s="276"/>
      <c r="AF154" s="276">
        <v>0</v>
      </c>
      <c r="AG154" s="276">
        <v>0</v>
      </c>
      <c r="AH154" s="283" t="s">
        <v>483</v>
      </c>
      <c r="AJ154" s="281" t="s">
        <v>553</v>
      </c>
      <c r="AK154" s="280" t="s">
        <v>552</v>
      </c>
      <c r="AL154" s="276">
        <v>0</v>
      </c>
      <c r="AM154" s="279">
        <v>0</v>
      </c>
      <c r="AN154" s="276">
        <v>108.28</v>
      </c>
      <c r="AO154" s="276">
        <v>0</v>
      </c>
      <c r="AP154" s="279">
        <v>0</v>
      </c>
      <c r="AQ154" s="276">
        <v>0</v>
      </c>
      <c r="AR154" s="276">
        <v>0</v>
      </c>
      <c r="AS154" s="271">
        <v>2</v>
      </c>
      <c r="AT154" s="276">
        <v>0</v>
      </c>
      <c r="AU154" s="279">
        <v>0</v>
      </c>
      <c r="AV154" s="276">
        <v>0</v>
      </c>
      <c r="AW154" s="276">
        <v>0</v>
      </c>
      <c r="AX154" s="279">
        <v>0</v>
      </c>
      <c r="AY154" s="276">
        <v>0</v>
      </c>
      <c r="AZ154" s="276">
        <v>0</v>
      </c>
      <c r="BA154" s="278" t="s">
        <v>551</v>
      </c>
      <c r="BB154" s="276">
        <v>0</v>
      </c>
      <c r="BC154" s="279">
        <v>0</v>
      </c>
      <c r="BD154" s="276">
        <v>0</v>
      </c>
      <c r="BE154" s="276">
        <v>0</v>
      </c>
      <c r="BF154" s="279">
        <v>0</v>
      </c>
      <c r="BG154" s="276">
        <v>0</v>
      </c>
      <c r="BH154" s="276">
        <v>0</v>
      </c>
      <c r="BI154" s="278" t="s">
        <v>550</v>
      </c>
      <c r="BJ154" s="276">
        <v>0</v>
      </c>
      <c r="BK154" s="276">
        <v>0</v>
      </c>
      <c r="BL154" s="276">
        <v>0</v>
      </c>
      <c r="BM154" s="276">
        <v>0</v>
      </c>
      <c r="BN154" s="276">
        <v>0</v>
      </c>
      <c r="BO154" s="276">
        <v>0</v>
      </c>
      <c r="BP154" s="276">
        <v>0</v>
      </c>
    </row>
    <row r="155" spans="1:68" x14ac:dyDescent="0.35">
      <c r="A155" s="277" t="s">
        <v>563</v>
      </c>
      <c r="B155" s="277" t="s">
        <v>562</v>
      </c>
      <c r="C155" s="283" t="s">
        <v>328</v>
      </c>
      <c r="D155" s="277" t="s">
        <v>560</v>
      </c>
      <c r="F155" s="277" t="s">
        <v>845</v>
      </c>
      <c r="K155" s="277" t="s">
        <v>819</v>
      </c>
      <c r="L155" s="277" t="s">
        <v>557</v>
      </c>
      <c r="N155" s="277" t="s">
        <v>820</v>
      </c>
      <c r="O155" s="277" t="s">
        <v>819</v>
      </c>
      <c r="P155" s="277" t="s">
        <v>557</v>
      </c>
      <c r="Q155" s="277" t="s">
        <v>556</v>
      </c>
      <c r="R155" s="277" t="s">
        <v>819</v>
      </c>
      <c r="S155" s="276">
        <v>0</v>
      </c>
      <c r="T155" s="276">
        <v>0</v>
      </c>
      <c r="U155" s="276">
        <v>0</v>
      </c>
      <c r="V155" s="276">
        <v>0</v>
      </c>
      <c r="W155" s="276">
        <v>0</v>
      </c>
      <c r="X155" s="276">
        <v>0</v>
      </c>
      <c r="Y155" s="276">
        <v>0</v>
      </c>
      <c r="Z155" s="276">
        <v>0</v>
      </c>
      <c r="AA155" s="276">
        <v>0</v>
      </c>
      <c r="AB155" s="276">
        <v>0</v>
      </c>
      <c r="AC155" s="276"/>
      <c r="AD155" s="276">
        <v>0</v>
      </c>
      <c r="AE155" s="276"/>
      <c r="AF155" s="276">
        <v>0</v>
      </c>
      <c r="AG155" s="276">
        <v>0</v>
      </c>
      <c r="AH155" s="283" t="s">
        <v>86</v>
      </c>
      <c r="AI155" s="282" t="s">
        <v>335</v>
      </c>
      <c r="AJ155" s="281" t="s">
        <v>553</v>
      </c>
      <c r="AK155" s="280" t="s">
        <v>552</v>
      </c>
      <c r="AL155" s="276">
        <v>1.1000000000000001</v>
      </c>
      <c r="AM155" s="279">
        <v>0</v>
      </c>
      <c r="AN155" s="276">
        <v>0</v>
      </c>
      <c r="AO155" s="276">
        <v>1.1000000000000001</v>
      </c>
      <c r="AP155" s="279">
        <v>0</v>
      </c>
      <c r="AQ155" s="276">
        <v>0</v>
      </c>
      <c r="AR155" s="276">
        <v>0</v>
      </c>
      <c r="AS155" s="271">
        <v>2</v>
      </c>
      <c r="AT155" s="276">
        <v>0</v>
      </c>
      <c r="AU155" s="279">
        <v>0</v>
      </c>
      <c r="AV155" s="276">
        <v>0</v>
      </c>
      <c r="AW155" s="276">
        <v>0</v>
      </c>
      <c r="AX155" s="279">
        <v>0</v>
      </c>
      <c r="AY155" s="276">
        <v>0</v>
      </c>
      <c r="AZ155" s="276">
        <v>0</v>
      </c>
      <c r="BA155" s="278" t="s">
        <v>551</v>
      </c>
      <c r="BB155" s="276">
        <v>0</v>
      </c>
      <c r="BC155" s="279">
        <v>0</v>
      </c>
      <c r="BD155" s="276">
        <v>0</v>
      </c>
      <c r="BE155" s="276">
        <v>0</v>
      </c>
      <c r="BF155" s="279">
        <v>0</v>
      </c>
      <c r="BG155" s="276">
        <v>0</v>
      </c>
      <c r="BH155" s="276">
        <v>0</v>
      </c>
      <c r="BI155" s="278" t="s">
        <v>550</v>
      </c>
      <c r="BJ155" s="276">
        <v>0</v>
      </c>
      <c r="BK155" s="276">
        <v>0</v>
      </c>
      <c r="BL155" s="276">
        <v>0</v>
      </c>
      <c r="BM155" s="276">
        <v>0</v>
      </c>
      <c r="BN155" s="276">
        <v>0</v>
      </c>
      <c r="BO155" s="276">
        <v>0</v>
      </c>
      <c r="BP155" s="276">
        <v>0</v>
      </c>
    </row>
    <row r="156" spans="1:68" x14ac:dyDescent="0.35">
      <c r="A156" s="277" t="s">
        <v>563</v>
      </c>
      <c r="B156" s="277" t="s">
        <v>562</v>
      </c>
      <c r="C156" s="283" t="s">
        <v>330</v>
      </c>
      <c r="D156" s="277" t="s">
        <v>560</v>
      </c>
      <c r="F156" s="277" t="s">
        <v>844</v>
      </c>
      <c r="K156" s="277" t="s">
        <v>819</v>
      </c>
      <c r="L156" s="277" t="s">
        <v>557</v>
      </c>
      <c r="N156" s="277" t="s">
        <v>820</v>
      </c>
      <c r="O156" s="277" t="s">
        <v>819</v>
      </c>
      <c r="P156" s="277" t="s">
        <v>557</v>
      </c>
      <c r="Q156" s="277" t="s">
        <v>556</v>
      </c>
      <c r="R156" s="277" t="s">
        <v>819</v>
      </c>
      <c r="S156" s="276">
        <v>0</v>
      </c>
      <c r="T156" s="276">
        <v>0</v>
      </c>
      <c r="U156" s="276">
        <v>0</v>
      </c>
      <c r="V156" s="276">
        <v>0</v>
      </c>
      <c r="W156" s="276">
        <v>0</v>
      </c>
      <c r="X156" s="276">
        <v>0</v>
      </c>
      <c r="Y156" s="276">
        <v>0</v>
      </c>
      <c r="Z156" s="276">
        <v>0</v>
      </c>
      <c r="AA156" s="276">
        <v>0</v>
      </c>
      <c r="AB156" s="276">
        <v>0</v>
      </c>
      <c r="AC156" s="276"/>
      <c r="AD156" s="276">
        <v>0</v>
      </c>
      <c r="AE156" s="276"/>
      <c r="AF156" s="276">
        <v>0</v>
      </c>
      <c r="AG156" s="276">
        <v>0</v>
      </c>
      <c r="AH156" s="283" t="s">
        <v>86</v>
      </c>
      <c r="AI156" s="282" t="s">
        <v>337</v>
      </c>
      <c r="AJ156" s="281" t="s">
        <v>553</v>
      </c>
      <c r="AK156" s="280" t="s">
        <v>552</v>
      </c>
      <c r="AL156" s="276">
        <v>2.08</v>
      </c>
      <c r="AM156" s="279">
        <v>0</v>
      </c>
      <c r="AN156" s="276">
        <v>0</v>
      </c>
      <c r="AO156" s="276">
        <v>2.08</v>
      </c>
      <c r="AP156" s="279">
        <v>0</v>
      </c>
      <c r="AQ156" s="276">
        <v>0</v>
      </c>
      <c r="AR156" s="276">
        <v>0</v>
      </c>
      <c r="AS156" s="271">
        <v>2</v>
      </c>
      <c r="AT156" s="276">
        <v>0</v>
      </c>
      <c r="AU156" s="279">
        <v>0</v>
      </c>
      <c r="AV156" s="276">
        <v>0</v>
      </c>
      <c r="AW156" s="276">
        <v>0</v>
      </c>
      <c r="AX156" s="279">
        <v>0</v>
      </c>
      <c r="AY156" s="276">
        <v>0</v>
      </c>
      <c r="AZ156" s="276">
        <v>0</v>
      </c>
      <c r="BA156" s="278" t="s">
        <v>551</v>
      </c>
      <c r="BB156" s="276">
        <v>0</v>
      </c>
      <c r="BC156" s="279">
        <v>0</v>
      </c>
      <c r="BD156" s="276">
        <v>0</v>
      </c>
      <c r="BE156" s="276">
        <v>0</v>
      </c>
      <c r="BF156" s="279">
        <v>0</v>
      </c>
      <c r="BG156" s="276">
        <v>0</v>
      </c>
      <c r="BH156" s="276">
        <v>0</v>
      </c>
      <c r="BI156" s="278" t="s">
        <v>550</v>
      </c>
      <c r="BJ156" s="276">
        <v>0</v>
      </c>
      <c r="BK156" s="276">
        <v>0</v>
      </c>
      <c r="BL156" s="276">
        <v>0</v>
      </c>
      <c r="BM156" s="276">
        <v>0</v>
      </c>
      <c r="BN156" s="276">
        <v>0</v>
      </c>
      <c r="BO156" s="276">
        <v>0</v>
      </c>
      <c r="BP156" s="276">
        <v>0</v>
      </c>
    </row>
    <row r="157" spans="1:68" x14ac:dyDescent="0.35">
      <c r="A157" s="277" t="s">
        <v>563</v>
      </c>
      <c r="B157" s="277" t="s">
        <v>562</v>
      </c>
      <c r="C157" s="283" t="s">
        <v>332</v>
      </c>
      <c r="D157" s="277" t="s">
        <v>560</v>
      </c>
      <c r="F157" s="277" t="s">
        <v>843</v>
      </c>
      <c r="K157" s="277" t="s">
        <v>819</v>
      </c>
      <c r="L157" s="277" t="s">
        <v>557</v>
      </c>
      <c r="N157" s="277" t="s">
        <v>820</v>
      </c>
      <c r="O157" s="277" t="s">
        <v>819</v>
      </c>
      <c r="P157" s="277" t="s">
        <v>557</v>
      </c>
      <c r="Q157" s="277" t="s">
        <v>556</v>
      </c>
      <c r="R157" s="277" t="s">
        <v>819</v>
      </c>
      <c r="S157" s="276">
        <v>0</v>
      </c>
      <c r="T157" s="276">
        <v>0</v>
      </c>
      <c r="U157" s="276">
        <v>0</v>
      </c>
      <c r="V157" s="276">
        <v>0</v>
      </c>
      <c r="W157" s="276">
        <v>0</v>
      </c>
      <c r="X157" s="276">
        <v>0</v>
      </c>
      <c r="Y157" s="276">
        <v>0</v>
      </c>
      <c r="Z157" s="276">
        <v>0</v>
      </c>
      <c r="AA157" s="276">
        <v>0</v>
      </c>
      <c r="AB157" s="276">
        <v>0</v>
      </c>
      <c r="AC157" s="276"/>
      <c r="AD157" s="276">
        <v>0</v>
      </c>
      <c r="AE157" s="276"/>
      <c r="AF157" s="276">
        <v>0</v>
      </c>
      <c r="AG157" s="276">
        <v>0</v>
      </c>
      <c r="AH157" s="283" t="s">
        <v>86</v>
      </c>
      <c r="AI157" s="282" t="s">
        <v>339</v>
      </c>
      <c r="AJ157" s="281" t="s">
        <v>553</v>
      </c>
      <c r="AK157" s="280" t="s">
        <v>552</v>
      </c>
      <c r="AL157" s="276">
        <v>1.1599999999999999</v>
      </c>
      <c r="AM157" s="279">
        <v>0</v>
      </c>
      <c r="AN157" s="276">
        <v>0</v>
      </c>
      <c r="AO157" s="276">
        <v>1.1599999999999999</v>
      </c>
      <c r="AP157" s="279">
        <v>0</v>
      </c>
      <c r="AQ157" s="276">
        <v>0</v>
      </c>
      <c r="AR157" s="276">
        <v>0</v>
      </c>
      <c r="AS157" s="271">
        <v>2</v>
      </c>
      <c r="AT157" s="276">
        <v>0</v>
      </c>
      <c r="AU157" s="279">
        <v>0</v>
      </c>
      <c r="AV157" s="276">
        <v>0</v>
      </c>
      <c r="AW157" s="276">
        <v>0</v>
      </c>
      <c r="AX157" s="279">
        <v>0</v>
      </c>
      <c r="AY157" s="276">
        <v>0</v>
      </c>
      <c r="AZ157" s="276">
        <v>0</v>
      </c>
      <c r="BA157" s="278" t="s">
        <v>551</v>
      </c>
      <c r="BB157" s="276">
        <v>0</v>
      </c>
      <c r="BC157" s="279">
        <v>0</v>
      </c>
      <c r="BD157" s="276">
        <v>0</v>
      </c>
      <c r="BE157" s="276">
        <v>0</v>
      </c>
      <c r="BF157" s="279">
        <v>0</v>
      </c>
      <c r="BG157" s="276">
        <v>0</v>
      </c>
      <c r="BH157" s="276">
        <v>0</v>
      </c>
      <c r="BI157" s="278" t="s">
        <v>550</v>
      </c>
      <c r="BJ157" s="276">
        <v>0</v>
      </c>
      <c r="BK157" s="276">
        <v>0</v>
      </c>
      <c r="BL157" s="276">
        <v>0</v>
      </c>
      <c r="BM157" s="276">
        <v>0</v>
      </c>
      <c r="BN157" s="276">
        <v>0</v>
      </c>
      <c r="BO157" s="276">
        <v>0</v>
      </c>
      <c r="BP157" s="276">
        <v>0</v>
      </c>
    </row>
    <row r="158" spans="1:68" x14ac:dyDescent="0.35">
      <c r="A158" s="277" t="s">
        <v>563</v>
      </c>
      <c r="B158" s="277" t="s">
        <v>562</v>
      </c>
      <c r="C158" s="283" t="s">
        <v>335</v>
      </c>
      <c r="D158" s="277" t="s">
        <v>560</v>
      </c>
      <c r="F158" s="277" t="s">
        <v>842</v>
      </c>
      <c r="K158" s="277" t="s">
        <v>819</v>
      </c>
      <c r="L158" s="277" t="s">
        <v>557</v>
      </c>
      <c r="N158" s="277" t="s">
        <v>820</v>
      </c>
      <c r="O158" s="277" t="s">
        <v>819</v>
      </c>
      <c r="P158" s="277" t="s">
        <v>557</v>
      </c>
      <c r="Q158" s="277" t="s">
        <v>556</v>
      </c>
      <c r="R158" s="277" t="s">
        <v>819</v>
      </c>
      <c r="S158" s="276">
        <v>0</v>
      </c>
      <c r="T158" s="276">
        <v>0</v>
      </c>
      <c r="U158" s="276">
        <v>0</v>
      </c>
      <c r="V158" s="276">
        <v>0</v>
      </c>
      <c r="W158" s="276">
        <v>0</v>
      </c>
      <c r="X158" s="276">
        <v>0</v>
      </c>
      <c r="Y158" s="276">
        <v>0</v>
      </c>
      <c r="Z158" s="276">
        <v>0</v>
      </c>
      <c r="AA158" s="276">
        <v>0</v>
      </c>
      <c r="AB158" s="276">
        <v>0</v>
      </c>
      <c r="AC158" s="276"/>
      <c r="AD158" s="276">
        <v>0</v>
      </c>
      <c r="AE158" s="276"/>
      <c r="AF158" s="276">
        <v>0</v>
      </c>
      <c r="AG158" s="276">
        <v>0</v>
      </c>
      <c r="AH158" s="283" t="s">
        <v>483</v>
      </c>
      <c r="AJ158" s="281" t="s">
        <v>553</v>
      </c>
      <c r="AK158" s="280" t="s">
        <v>552</v>
      </c>
      <c r="AL158" s="276">
        <v>0.61</v>
      </c>
      <c r="AM158" s="279">
        <v>0</v>
      </c>
      <c r="AN158" s="276">
        <v>0</v>
      </c>
      <c r="AO158" s="276">
        <v>0.61</v>
      </c>
      <c r="AP158" s="279">
        <v>0</v>
      </c>
      <c r="AQ158" s="276">
        <v>0</v>
      </c>
      <c r="AR158" s="276">
        <v>0</v>
      </c>
      <c r="AS158" s="271">
        <v>2</v>
      </c>
      <c r="AT158" s="276">
        <v>0</v>
      </c>
      <c r="AU158" s="279">
        <v>0</v>
      </c>
      <c r="AV158" s="276">
        <v>0</v>
      </c>
      <c r="AW158" s="276">
        <v>0</v>
      </c>
      <c r="AX158" s="279">
        <v>0</v>
      </c>
      <c r="AY158" s="276">
        <v>0</v>
      </c>
      <c r="AZ158" s="276">
        <v>0</v>
      </c>
      <c r="BA158" s="278" t="s">
        <v>551</v>
      </c>
      <c r="BB158" s="276">
        <v>0</v>
      </c>
      <c r="BC158" s="279">
        <v>0</v>
      </c>
      <c r="BD158" s="276">
        <v>0</v>
      </c>
      <c r="BE158" s="276">
        <v>0</v>
      </c>
      <c r="BF158" s="279">
        <v>0</v>
      </c>
      <c r="BG158" s="276">
        <v>0</v>
      </c>
      <c r="BH158" s="276">
        <v>0</v>
      </c>
      <c r="BI158" s="278" t="s">
        <v>550</v>
      </c>
      <c r="BJ158" s="276">
        <v>0</v>
      </c>
      <c r="BK158" s="276">
        <v>0</v>
      </c>
      <c r="BL158" s="276">
        <v>0</v>
      </c>
      <c r="BM158" s="276">
        <v>0</v>
      </c>
      <c r="BN158" s="276">
        <v>0</v>
      </c>
      <c r="BO158" s="276">
        <v>0</v>
      </c>
      <c r="BP158" s="276">
        <v>0</v>
      </c>
    </row>
    <row r="159" spans="1:68" x14ac:dyDescent="0.35">
      <c r="A159" s="277" t="s">
        <v>563</v>
      </c>
      <c r="B159" s="277" t="s">
        <v>562</v>
      </c>
      <c r="C159" s="283" t="s">
        <v>337</v>
      </c>
      <c r="D159" s="277" t="s">
        <v>560</v>
      </c>
      <c r="F159" s="277" t="s">
        <v>841</v>
      </c>
      <c r="K159" s="277" t="s">
        <v>819</v>
      </c>
      <c r="L159" s="277" t="s">
        <v>557</v>
      </c>
      <c r="N159" s="277" t="s">
        <v>820</v>
      </c>
      <c r="O159" s="277" t="s">
        <v>819</v>
      </c>
      <c r="P159" s="277" t="s">
        <v>557</v>
      </c>
      <c r="Q159" s="277" t="s">
        <v>556</v>
      </c>
      <c r="R159" s="277" t="s">
        <v>819</v>
      </c>
      <c r="S159" s="276">
        <v>0</v>
      </c>
      <c r="T159" s="276">
        <v>0</v>
      </c>
      <c r="U159" s="276">
        <v>0</v>
      </c>
      <c r="V159" s="276">
        <v>0</v>
      </c>
      <c r="W159" s="276">
        <v>0</v>
      </c>
      <c r="X159" s="276">
        <v>0</v>
      </c>
      <c r="Y159" s="276">
        <v>0</v>
      </c>
      <c r="Z159" s="276">
        <v>0</v>
      </c>
      <c r="AA159" s="276">
        <v>0</v>
      </c>
      <c r="AB159" s="276">
        <v>0</v>
      </c>
      <c r="AC159" s="276"/>
      <c r="AD159" s="276">
        <v>0</v>
      </c>
      <c r="AE159" s="276"/>
      <c r="AF159" s="276">
        <v>0</v>
      </c>
      <c r="AG159" s="276">
        <v>0</v>
      </c>
      <c r="AH159" s="283" t="s">
        <v>483</v>
      </c>
      <c r="AJ159" s="281" t="s">
        <v>553</v>
      </c>
      <c r="AK159" s="280" t="s">
        <v>552</v>
      </c>
      <c r="AL159" s="276">
        <v>1.2</v>
      </c>
      <c r="AM159" s="279">
        <v>0</v>
      </c>
      <c r="AN159" s="276">
        <v>0</v>
      </c>
      <c r="AO159" s="276">
        <v>1.2</v>
      </c>
      <c r="AP159" s="279">
        <v>0</v>
      </c>
      <c r="AQ159" s="276">
        <v>0</v>
      </c>
      <c r="AR159" s="276">
        <v>0</v>
      </c>
      <c r="AS159" s="271">
        <v>2</v>
      </c>
      <c r="AT159" s="276">
        <v>0</v>
      </c>
      <c r="AU159" s="279">
        <v>0</v>
      </c>
      <c r="AV159" s="276">
        <v>0</v>
      </c>
      <c r="AW159" s="276">
        <v>0</v>
      </c>
      <c r="AX159" s="279">
        <v>0</v>
      </c>
      <c r="AY159" s="276">
        <v>0</v>
      </c>
      <c r="AZ159" s="276">
        <v>0</v>
      </c>
      <c r="BA159" s="278" t="s">
        <v>551</v>
      </c>
      <c r="BB159" s="276">
        <v>0</v>
      </c>
      <c r="BC159" s="279">
        <v>0</v>
      </c>
      <c r="BD159" s="276">
        <v>0</v>
      </c>
      <c r="BE159" s="276">
        <v>0</v>
      </c>
      <c r="BF159" s="279">
        <v>0</v>
      </c>
      <c r="BG159" s="276">
        <v>0</v>
      </c>
      <c r="BH159" s="276">
        <v>0</v>
      </c>
      <c r="BI159" s="278" t="s">
        <v>550</v>
      </c>
      <c r="BJ159" s="276">
        <v>0</v>
      </c>
      <c r="BK159" s="276">
        <v>0</v>
      </c>
      <c r="BL159" s="276">
        <v>0</v>
      </c>
      <c r="BM159" s="276">
        <v>0</v>
      </c>
      <c r="BN159" s="276">
        <v>0</v>
      </c>
      <c r="BO159" s="276">
        <v>0</v>
      </c>
      <c r="BP159" s="276">
        <v>0</v>
      </c>
    </row>
    <row r="160" spans="1:68" x14ac:dyDescent="0.35">
      <c r="A160" s="277" t="s">
        <v>563</v>
      </c>
      <c r="B160" s="277" t="s">
        <v>562</v>
      </c>
      <c r="C160" s="283" t="s">
        <v>339</v>
      </c>
      <c r="D160" s="277" t="s">
        <v>560</v>
      </c>
      <c r="F160" s="277" t="s">
        <v>840</v>
      </c>
      <c r="K160" s="277" t="s">
        <v>819</v>
      </c>
      <c r="L160" s="277" t="s">
        <v>557</v>
      </c>
      <c r="N160" s="277" t="s">
        <v>820</v>
      </c>
      <c r="O160" s="277" t="s">
        <v>819</v>
      </c>
      <c r="P160" s="277" t="s">
        <v>557</v>
      </c>
      <c r="Q160" s="277" t="s">
        <v>556</v>
      </c>
      <c r="R160" s="277" t="s">
        <v>819</v>
      </c>
      <c r="S160" s="276">
        <v>0</v>
      </c>
      <c r="T160" s="276">
        <v>0</v>
      </c>
      <c r="U160" s="276">
        <v>0</v>
      </c>
      <c r="V160" s="276">
        <v>0</v>
      </c>
      <c r="W160" s="276">
        <v>0</v>
      </c>
      <c r="X160" s="276">
        <v>0</v>
      </c>
      <c r="Y160" s="276">
        <v>0</v>
      </c>
      <c r="Z160" s="276">
        <v>0</v>
      </c>
      <c r="AA160" s="276">
        <v>0</v>
      </c>
      <c r="AB160" s="276">
        <v>0</v>
      </c>
      <c r="AC160" s="276"/>
      <c r="AD160" s="276">
        <v>0</v>
      </c>
      <c r="AE160" s="276"/>
      <c r="AF160" s="276">
        <v>0</v>
      </c>
      <c r="AG160" s="276">
        <v>0</v>
      </c>
      <c r="AH160" s="283" t="s">
        <v>483</v>
      </c>
      <c r="AJ160" s="281" t="s">
        <v>553</v>
      </c>
      <c r="AK160" s="280" t="s">
        <v>552</v>
      </c>
      <c r="AL160" s="276">
        <v>0.72</v>
      </c>
      <c r="AM160" s="279">
        <v>0</v>
      </c>
      <c r="AN160" s="276">
        <v>0</v>
      </c>
      <c r="AO160" s="276">
        <v>0.72</v>
      </c>
      <c r="AP160" s="279">
        <v>0</v>
      </c>
      <c r="AQ160" s="276">
        <v>0</v>
      </c>
      <c r="AR160" s="276">
        <v>0</v>
      </c>
      <c r="AS160" s="271">
        <v>2</v>
      </c>
      <c r="AT160" s="276">
        <v>0</v>
      </c>
      <c r="AU160" s="279">
        <v>0</v>
      </c>
      <c r="AV160" s="276">
        <v>0</v>
      </c>
      <c r="AW160" s="276">
        <v>0</v>
      </c>
      <c r="AX160" s="279">
        <v>0</v>
      </c>
      <c r="AY160" s="276">
        <v>0</v>
      </c>
      <c r="AZ160" s="276">
        <v>0</v>
      </c>
      <c r="BA160" s="278" t="s">
        <v>551</v>
      </c>
      <c r="BB160" s="276">
        <v>0</v>
      </c>
      <c r="BC160" s="279">
        <v>0</v>
      </c>
      <c r="BD160" s="276">
        <v>0</v>
      </c>
      <c r="BE160" s="276">
        <v>0</v>
      </c>
      <c r="BF160" s="279">
        <v>0</v>
      </c>
      <c r="BG160" s="276">
        <v>0</v>
      </c>
      <c r="BH160" s="276">
        <v>0</v>
      </c>
      <c r="BI160" s="278" t="s">
        <v>550</v>
      </c>
      <c r="BJ160" s="276">
        <v>0</v>
      </c>
      <c r="BK160" s="276">
        <v>0</v>
      </c>
      <c r="BL160" s="276">
        <v>0</v>
      </c>
      <c r="BM160" s="276">
        <v>0</v>
      </c>
      <c r="BN160" s="276">
        <v>0</v>
      </c>
      <c r="BO160" s="276">
        <v>0</v>
      </c>
      <c r="BP160" s="276">
        <v>0</v>
      </c>
    </row>
    <row r="161" spans="1:68" x14ac:dyDescent="0.35">
      <c r="A161" s="277" t="s">
        <v>563</v>
      </c>
      <c r="B161" s="277" t="s">
        <v>562</v>
      </c>
      <c r="C161" s="283" t="s">
        <v>368</v>
      </c>
      <c r="D161" s="277" t="s">
        <v>560</v>
      </c>
      <c r="F161" s="277" t="s">
        <v>839</v>
      </c>
      <c r="K161" s="277" t="s">
        <v>819</v>
      </c>
      <c r="L161" s="277" t="s">
        <v>557</v>
      </c>
      <c r="N161" s="277" t="s">
        <v>820</v>
      </c>
      <c r="O161" s="277" t="s">
        <v>819</v>
      </c>
      <c r="P161" s="277" t="s">
        <v>557</v>
      </c>
      <c r="Q161" s="277" t="s">
        <v>556</v>
      </c>
      <c r="R161" s="277" t="s">
        <v>819</v>
      </c>
      <c r="S161" s="276">
        <v>269.5</v>
      </c>
      <c r="T161" s="276">
        <v>0</v>
      </c>
      <c r="U161" s="276">
        <v>0</v>
      </c>
      <c r="V161" s="276">
        <v>0</v>
      </c>
      <c r="W161" s="276">
        <v>0</v>
      </c>
      <c r="X161" s="276">
        <v>0</v>
      </c>
      <c r="Y161" s="276">
        <v>0</v>
      </c>
      <c r="Z161" s="276">
        <v>0</v>
      </c>
      <c r="AA161" s="276">
        <v>0</v>
      </c>
      <c r="AB161" s="276">
        <v>0</v>
      </c>
      <c r="AC161" s="276"/>
      <c r="AD161" s="276">
        <v>0</v>
      </c>
      <c r="AE161" s="276"/>
      <c r="AF161" s="276">
        <v>0</v>
      </c>
      <c r="AG161" s="276">
        <v>0</v>
      </c>
      <c r="AH161" s="283" t="s">
        <v>483</v>
      </c>
      <c r="AJ161" s="281" t="s">
        <v>553</v>
      </c>
      <c r="AK161" s="280" t="s">
        <v>552</v>
      </c>
      <c r="AL161" s="276">
        <v>0</v>
      </c>
      <c r="AM161" s="279">
        <v>0</v>
      </c>
      <c r="AN161" s="276">
        <v>0</v>
      </c>
      <c r="AO161" s="276">
        <v>0</v>
      </c>
      <c r="AP161" s="279">
        <v>0</v>
      </c>
      <c r="AQ161" s="276">
        <v>0</v>
      </c>
      <c r="AR161" s="276">
        <v>0</v>
      </c>
      <c r="AS161" s="271">
        <v>2</v>
      </c>
      <c r="AT161" s="276">
        <v>0</v>
      </c>
      <c r="AU161" s="279">
        <v>0</v>
      </c>
      <c r="AV161" s="276">
        <v>0</v>
      </c>
      <c r="AW161" s="276">
        <v>0</v>
      </c>
      <c r="AX161" s="279">
        <v>0</v>
      </c>
      <c r="AY161" s="276">
        <v>0</v>
      </c>
      <c r="AZ161" s="276">
        <v>0</v>
      </c>
      <c r="BA161" s="278" t="s">
        <v>551</v>
      </c>
      <c r="BB161" s="276">
        <v>0</v>
      </c>
      <c r="BC161" s="279">
        <v>0</v>
      </c>
      <c r="BD161" s="276">
        <v>0</v>
      </c>
      <c r="BE161" s="276">
        <v>0</v>
      </c>
      <c r="BF161" s="279">
        <v>0</v>
      </c>
      <c r="BG161" s="276">
        <v>0</v>
      </c>
      <c r="BH161" s="276">
        <v>0</v>
      </c>
      <c r="BI161" s="278" t="s">
        <v>550</v>
      </c>
      <c r="BJ161" s="276">
        <v>0</v>
      </c>
      <c r="BK161" s="276">
        <v>0</v>
      </c>
      <c r="BL161" s="276">
        <v>0</v>
      </c>
      <c r="BM161" s="276">
        <v>0</v>
      </c>
      <c r="BN161" s="276">
        <v>0</v>
      </c>
      <c r="BO161" s="276">
        <v>0</v>
      </c>
      <c r="BP161" s="276">
        <v>0</v>
      </c>
    </row>
    <row r="162" spans="1:68" x14ac:dyDescent="0.35">
      <c r="A162" s="277" t="s">
        <v>563</v>
      </c>
      <c r="B162" s="277" t="s">
        <v>562</v>
      </c>
      <c r="C162" s="283" t="s">
        <v>371</v>
      </c>
      <c r="D162" s="277" t="s">
        <v>560</v>
      </c>
      <c r="F162" s="277" t="s">
        <v>838</v>
      </c>
      <c r="K162" s="277" t="s">
        <v>819</v>
      </c>
      <c r="L162" s="277" t="s">
        <v>557</v>
      </c>
      <c r="N162" s="277" t="s">
        <v>820</v>
      </c>
      <c r="O162" s="277" t="s">
        <v>819</v>
      </c>
      <c r="P162" s="277" t="s">
        <v>557</v>
      </c>
      <c r="Q162" s="277" t="s">
        <v>556</v>
      </c>
      <c r="R162" s="277" t="s">
        <v>819</v>
      </c>
      <c r="S162" s="276">
        <v>89.93</v>
      </c>
      <c r="T162" s="276">
        <v>0</v>
      </c>
      <c r="U162" s="276">
        <v>0</v>
      </c>
      <c r="V162" s="276">
        <v>0</v>
      </c>
      <c r="W162" s="276">
        <v>0</v>
      </c>
      <c r="X162" s="276">
        <v>0</v>
      </c>
      <c r="Y162" s="276">
        <v>0</v>
      </c>
      <c r="Z162" s="276">
        <v>0</v>
      </c>
      <c r="AA162" s="276">
        <v>0</v>
      </c>
      <c r="AB162" s="276">
        <v>0</v>
      </c>
      <c r="AC162" s="276"/>
      <c r="AD162" s="276">
        <v>0</v>
      </c>
      <c r="AE162" s="276"/>
      <c r="AF162" s="276">
        <v>0</v>
      </c>
      <c r="AG162" s="276">
        <v>0</v>
      </c>
      <c r="AH162" s="283" t="s">
        <v>483</v>
      </c>
      <c r="AJ162" s="281" t="s">
        <v>553</v>
      </c>
      <c r="AK162" s="280" t="s">
        <v>552</v>
      </c>
      <c r="AL162" s="276">
        <v>0</v>
      </c>
      <c r="AM162" s="279">
        <v>0</v>
      </c>
      <c r="AN162" s="276">
        <v>0</v>
      </c>
      <c r="AO162" s="276">
        <v>0</v>
      </c>
      <c r="AP162" s="279">
        <v>0</v>
      </c>
      <c r="AQ162" s="276">
        <v>0</v>
      </c>
      <c r="AR162" s="276">
        <v>0</v>
      </c>
      <c r="AS162" s="271">
        <v>2</v>
      </c>
      <c r="AT162" s="276">
        <v>0</v>
      </c>
      <c r="AU162" s="279">
        <v>0</v>
      </c>
      <c r="AV162" s="276">
        <v>0</v>
      </c>
      <c r="AW162" s="276">
        <v>0</v>
      </c>
      <c r="AX162" s="279">
        <v>0</v>
      </c>
      <c r="AY162" s="276">
        <v>0</v>
      </c>
      <c r="AZ162" s="276">
        <v>0</v>
      </c>
      <c r="BA162" s="278" t="s">
        <v>551</v>
      </c>
      <c r="BB162" s="276">
        <v>0</v>
      </c>
      <c r="BC162" s="279">
        <v>0</v>
      </c>
      <c r="BD162" s="276">
        <v>0</v>
      </c>
      <c r="BE162" s="276">
        <v>0</v>
      </c>
      <c r="BF162" s="279">
        <v>0</v>
      </c>
      <c r="BG162" s="276">
        <v>0</v>
      </c>
      <c r="BH162" s="276">
        <v>0</v>
      </c>
      <c r="BI162" s="278" t="s">
        <v>550</v>
      </c>
      <c r="BJ162" s="276">
        <v>0</v>
      </c>
      <c r="BK162" s="276">
        <v>0</v>
      </c>
      <c r="BL162" s="276">
        <v>0</v>
      </c>
      <c r="BM162" s="276">
        <v>0</v>
      </c>
      <c r="BN162" s="276">
        <v>0</v>
      </c>
      <c r="BO162" s="276">
        <v>0</v>
      </c>
      <c r="BP162" s="276">
        <v>0</v>
      </c>
    </row>
    <row r="163" spans="1:68" x14ac:dyDescent="0.35">
      <c r="A163" s="277" t="s">
        <v>563</v>
      </c>
      <c r="B163" s="277" t="s">
        <v>562</v>
      </c>
      <c r="C163" s="283" t="s">
        <v>373</v>
      </c>
      <c r="D163" s="277" t="s">
        <v>560</v>
      </c>
      <c r="F163" s="277" t="s">
        <v>837</v>
      </c>
      <c r="K163" s="277" t="s">
        <v>819</v>
      </c>
      <c r="L163" s="277" t="s">
        <v>557</v>
      </c>
      <c r="N163" s="277" t="s">
        <v>820</v>
      </c>
      <c r="O163" s="277" t="s">
        <v>819</v>
      </c>
      <c r="P163" s="277" t="s">
        <v>557</v>
      </c>
      <c r="Q163" s="277" t="s">
        <v>556</v>
      </c>
      <c r="R163" s="277" t="s">
        <v>819</v>
      </c>
      <c r="S163" s="276">
        <v>0</v>
      </c>
      <c r="T163" s="276">
        <v>0</v>
      </c>
      <c r="U163" s="276">
        <v>0</v>
      </c>
      <c r="V163" s="276">
        <v>0</v>
      </c>
      <c r="W163" s="276">
        <v>0</v>
      </c>
      <c r="X163" s="276">
        <v>0</v>
      </c>
      <c r="Y163" s="276">
        <v>0</v>
      </c>
      <c r="Z163" s="276">
        <v>0</v>
      </c>
      <c r="AA163" s="276">
        <v>0</v>
      </c>
      <c r="AB163" s="276">
        <v>0</v>
      </c>
      <c r="AC163" s="276"/>
      <c r="AD163" s="276">
        <v>0</v>
      </c>
      <c r="AE163" s="276"/>
      <c r="AF163" s="276">
        <v>0</v>
      </c>
      <c r="AG163" s="276">
        <v>0</v>
      </c>
      <c r="AH163" s="283" t="s">
        <v>86</v>
      </c>
      <c r="AI163" s="282" t="s">
        <v>379</v>
      </c>
      <c r="AJ163" s="281" t="s">
        <v>553</v>
      </c>
      <c r="AK163" s="280" t="s">
        <v>552</v>
      </c>
      <c r="AL163" s="276">
        <v>1.33</v>
      </c>
      <c r="AM163" s="279">
        <v>0</v>
      </c>
      <c r="AN163" s="276">
        <v>0</v>
      </c>
      <c r="AO163" s="276">
        <v>1.33</v>
      </c>
      <c r="AP163" s="279">
        <v>0</v>
      </c>
      <c r="AQ163" s="276">
        <v>0</v>
      </c>
      <c r="AR163" s="276">
        <v>0</v>
      </c>
      <c r="AS163" s="271">
        <v>2</v>
      </c>
      <c r="AT163" s="276">
        <v>0</v>
      </c>
      <c r="AU163" s="279">
        <v>0</v>
      </c>
      <c r="AV163" s="276">
        <v>0</v>
      </c>
      <c r="AW163" s="276">
        <v>0</v>
      </c>
      <c r="AX163" s="279">
        <v>0</v>
      </c>
      <c r="AY163" s="276">
        <v>0</v>
      </c>
      <c r="AZ163" s="276">
        <v>0</v>
      </c>
      <c r="BA163" s="278" t="s">
        <v>551</v>
      </c>
      <c r="BB163" s="276">
        <v>0</v>
      </c>
      <c r="BC163" s="279">
        <v>0</v>
      </c>
      <c r="BD163" s="276">
        <v>0</v>
      </c>
      <c r="BE163" s="276">
        <v>0</v>
      </c>
      <c r="BF163" s="279">
        <v>0</v>
      </c>
      <c r="BG163" s="276">
        <v>0</v>
      </c>
      <c r="BH163" s="276">
        <v>0</v>
      </c>
      <c r="BI163" s="278" t="s">
        <v>550</v>
      </c>
      <c r="BJ163" s="276">
        <v>0</v>
      </c>
      <c r="BK163" s="276">
        <v>0</v>
      </c>
      <c r="BL163" s="276">
        <v>0</v>
      </c>
      <c r="BM163" s="276">
        <v>0</v>
      </c>
      <c r="BN163" s="276">
        <v>0</v>
      </c>
      <c r="BO163" s="276">
        <v>0</v>
      </c>
      <c r="BP163" s="276">
        <v>0</v>
      </c>
    </row>
    <row r="164" spans="1:68" x14ac:dyDescent="0.35">
      <c r="A164" s="277" t="s">
        <v>563</v>
      </c>
      <c r="B164" s="277" t="s">
        <v>562</v>
      </c>
      <c r="C164" s="283" t="s">
        <v>375</v>
      </c>
      <c r="D164" s="277" t="s">
        <v>560</v>
      </c>
      <c r="F164" s="277" t="s">
        <v>836</v>
      </c>
      <c r="K164" s="277" t="s">
        <v>819</v>
      </c>
      <c r="L164" s="277" t="s">
        <v>557</v>
      </c>
      <c r="N164" s="277" t="s">
        <v>820</v>
      </c>
      <c r="O164" s="277" t="s">
        <v>819</v>
      </c>
      <c r="P164" s="277" t="s">
        <v>557</v>
      </c>
      <c r="Q164" s="277" t="s">
        <v>556</v>
      </c>
      <c r="R164" s="277" t="s">
        <v>819</v>
      </c>
      <c r="S164" s="276">
        <v>0</v>
      </c>
      <c r="T164" s="276">
        <v>0</v>
      </c>
      <c r="U164" s="276">
        <v>0</v>
      </c>
      <c r="V164" s="276">
        <v>0</v>
      </c>
      <c r="W164" s="276">
        <v>0</v>
      </c>
      <c r="X164" s="276">
        <v>0</v>
      </c>
      <c r="Y164" s="276">
        <v>0</v>
      </c>
      <c r="Z164" s="276">
        <v>0</v>
      </c>
      <c r="AA164" s="276">
        <v>0</v>
      </c>
      <c r="AB164" s="276">
        <v>0</v>
      </c>
      <c r="AC164" s="276"/>
      <c r="AD164" s="276">
        <v>0</v>
      </c>
      <c r="AE164" s="276"/>
      <c r="AF164" s="276">
        <v>0</v>
      </c>
      <c r="AG164" s="276">
        <v>0</v>
      </c>
      <c r="AH164" s="283" t="s">
        <v>86</v>
      </c>
      <c r="AI164" s="282" t="s">
        <v>381</v>
      </c>
      <c r="AJ164" s="281" t="s">
        <v>553</v>
      </c>
      <c r="AK164" s="280" t="s">
        <v>552</v>
      </c>
      <c r="AL164" s="276">
        <v>2.72</v>
      </c>
      <c r="AM164" s="279">
        <v>0</v>
      </c>
      <c r="AN164" s="276">
        <v>0</v>
      </c>
      <c r="AO164" s="276">
        <v>2.72</v>
      </c>
      <c r="AP164" s="279">
        <v>0</v>
      </c>
      <c r="AQ164" s="276">
        <v>0</v>
      </c>
      <c r="AR164" s="276">
        <v>0</v>
      </c>
      <c r="AS164" s="271">
        <v>2</v>
      </c>
      <c r="AT164" s="276">
        <v>0</v>
      </c>
      <c r="AU164" s="279">
        <v>0</v>
      </c>
      <c r="AV164" s="276">
        <v>0</v>
      </c>
      <c r="AW164" s="276">
        <v>0</v>
      </c>
      <c r="AX164" s="279">
        <v>0</v>
      </c>
      <c r="AY164" s="276">
        <v>0</v>
      </c>
      <c r="AZ164" s="276">
        <v>0</v>
      </c>
      <c r="BA164" s="278" t="s">
        <v>551</v>
      </c>
      <c r="BB164" s="276">
        <v>0</v>
      </c>
      <c r="BC164" s="279">
        <v>0</v>
      </c>
      <c r="BD164" s="276">
        <v>0</v>
      </c>
      <c r="BE164" s="276">
        <v>0</v>
      </c>
      <c r="BF164" s="279">
        <v>0</v>
      </c>
      <c r="BG164" s="276">
        <v>0</v>
      </c>
      <c r="BH164" s="276">
        <v>0</v>
      </c>
      <c r="BI164" s="278" t="s">
        <v>550</v>
      </c>
      <c r="BJ164" s="276">
        <v>0</v>
      </c>
      <c r="BK164" s="276">
        <v>0</v>
      </c>
      <c r="BL164" s="276">
        <v>0</v>
      </c>
      <c r="BM164" s="276">
        <v>0</v>
      </c>
      <c r="BN164" s="276">
        <v>0</v>
      </c>
      <c r="BO164" s="276">
        <v>0</v>
      </c>
      <c r="BP164" s="276">
        <v>0</v>
      </c>
    </row>
    <row r="165" spans="1:68" x14ac:dyDescent="0.35">
      <c r="A165" s="277" t="s">
        <v>563</v>
      </c>
      <c r="B165" s="277" t="s">
        <v>562</v>
      </c>
      <c r="C165" s="283" t="s">
        <v>377</v>
      </c>
      <c r="D165" s="277" t="s">
        <v>560</v>
      </c>
      <c r="F165" s="277" t="s">
        <v>835</v>
      </c>
      <c r="K165" s="277" t="s">
        <v>819</v>
      </c>
      <c r="L165" s="277" t="s">
        <v>557</v>
      </c>
      <c r="N165" s="277" t="s">
        <v>820</v>
      </c>
      <c r="O165" s="277" t="s">
        <v>819</v>
      </c>
      <c r="P165" s="277" t="s">
        <v>557</v>
      </c>
      <c r="Q165" s="277" t="s">
        <v>556</v>
      </c>
      <c r="R165" s="277" t="s">
        <v>819</v>
      </c>
      <c r="S165" s="276">
        <v>0</v>
      </c>
      <c r="T165" s="276">
        <v>0</v>
      </c>
      <c r="U165" s="276">
        <v>0</v>
      </c>
      <c r="V165" s="276">
        <v>0</v>
      </c>
      <c r="W165" s="276">
        <v>0</v>
      </c>
      <c r="X165" s="276">
        <v>0</v>
      </c>
      <c r="Y165" s="276">
        <v>0</v>
      </c>
      <c r="Z165" s="276">
        <v>0</v>
      </c>
      <c r="AA165" s="276">
        <v>0</v>
      </c>
      <c r="AB165" s="276">
        <v>0</v>
      </c>
      <c r="AC165" s="276"/>
      <c r="AD165" s="276">
        <v>0</v>
      </c>
      <c r="AE165" s="276"/>
      <c r="AF165" s="276">
        <v>0</v>
      </c>
      <c r="AG165" s="276">
        <v>0</v>
      </c>
      <c r="AH165" s="283" t="s">
        <v>86</v>
      </c>
      <c r="AI165" s="282" t="s">
        <v>383</v>
      </c>
      <c r="AJ165" s="281" t="s">
        <v>553</v>
      </c>
      <c r="AK165" s="280" t="s">
        <v>552</v>
      </c>
      <c r="AL165" s="276">
        <v>1.38</v>
      </c>
      <c r="AM165" s="279">
        <v>0</v>
      </c>
      <c r="AN165" s="276">
        <v>0</v>
      </c>
      <c r="AO165" s="276">
        <v>1.38</v>
      </c>
      <c r="AP165" s="279">
        <v>0</v>
      </c>
      <c r="AQ165" s="276">
        <v>0</v>
      </c>
      <c r="AR165" s="276">
        <v>0</v>
      </c>
      <c r="AS165" s="271">
        <v>2</v>
      </c>
      <c r="AT165" s="276">
        <v>0</v>
      </c>
      <c r="AU165" s="279">
        <v>0</v>
      </c>
      <c r="AV165" s="276">
        <v>0</v>
      </c>
      <c r="AW165" s="276">
        <v>0</v>
      </c>
      <c r="AX165" s="279">
        <v>0</v>
      </c>
      <c r="AY165" s="276">
        <v>0</v>
      </c>
      <c r="AZ165" s="276">
        <v>0</v>
      </c>
      <c r="BA165" s="278" t="s">
        <v>551</v>
      </c>
      <c r="BB165" s="276">
        <v>0</v>
      </c>
      <c r="BC165" s="279">
        <v>0</v>
      </c>
      <c r="BD165" s="276">
        <v>0</v>
      </c>
      <c r="BE165" s="276">
        <v>0</v>
      </c>
      <c r="BF165" s="279">
        <v>0</v>
      </c>
      <c r="BG165" s="276">
        <v>0</v>
      </c>
      <c r="BH165" s="276">
        <v>0</v>
      </c>
      <c r="BI165" s="278" t="s">
        <v>550</v>
      </c>
      <c r="BJ165" s="276">
        <v>0</v>
      </c>
      <c r="BK165" s="276">
        <v>0</v>
      </c>
      <c r="BL165" s="276">
        <v>0</v>
      </c>
      <c r="BM165" s="276">
        <v>0</v>
      </c>
      <c r="BN165" s="276">
        <v>0</v>
      </c>
      <c r="BO165" s="276">
        <v>0</v>
      </c>
      <c r="BP165" s="276">
        <v>0</v>
      </c>
    </row>
    <row r="166" spans="1:68" x14ac:dyDescent="0.35">
      <c r="A166" s="277" t="s">
        <v>563</v>
      </c>
      <c r="B166" s="277" t="s">
        <v>562</v>
      </c>
      <c r="C166" s="283" t="s">
        <v>381</v>
      </c>
      <c r="D166" s="277" t="s">
        <v>560</v>
      </c>
      <c r="F166" s="277" t="s">
        <v>834</v>
      </c>
      <c r="K166" s="277" t="s">
        <v>819</v>
      </c>
      <c r="L166" s="277" t="s">
        <v>557</v>
      </c>
      <c r="N166" s="277" t="s">
        <v>820</v>
      </c>
      <c r="O166" s="277" t="s">
        <v>819</v>
      </c>
      <c r="P166" s="277" t="s">
        <v>557</v>
      </c>
      <c r="Q166" s="277" t="s">
        <v>556</v>
      </c>
      <c r="R166" s="277" t="s">
        <v>819</v>
      </c>
      <c r="S166" s="276">
        <v>0</v>
      </c>
      <c r="T166" s="276">
        <v>0</v>
      </c>
      <c r="U166" s="276">
        <v>0</v>
      </c>
      <c r="V166" s="276">
        <v>0</v>
      </c>
      <c r="W166" s="276">
        <v>0</v>
      </c>
      <c r="X166" s="276">
        <v>0</v>
      </c>
      <c r="Y166" s="276">
        <v>0</v>
      </c>
      <c r="Z166" s="276">
        <v>0</v>
      </c>
      <c r="AA166" s="276">
        <v>0</v>
      </c>
      <c r="AB166" s="276">
        <v>0</v>
      </c>
      <c r="AC166" s="276"/>
      <c r="AD166" s="276">
        <v>0</v>
      </c>
      <c r="AE166" s="276"/>
      <c r="AF166" s="276">
        <v>0</v>
      </c>
      <c r="AG166" s="276">
        <v>0</v>
      </c>
      <c r="AH166" s="283" t="s">
        <v>483</v>
      </c>
      <c r="AJ166" s="281" t="s">
        <v>553</v>
      </c>
      <c r="AK166" s="280" t="s">
        <v>552</v>
      </c>
      <c r="AL166" s="276">
        <v>1.27</v>
      </c>
      <c r="AM166" s="279">
        <v>0</v>
      </c>
      <c r="AN166" s="276">
        <v>0</v>
      </c>
      <c r="AO166" s="276">
        <v>1.27</v>
      </c>
      <c r="AP166" s="279">
        <v>0</v>
      </c>
      <c r="AQ166" s="276">
        <v>0</v>
      </c>
      <c r="AR166" s="276">
        <v>0</v>
      </c>
      <c r="AS166" s="271">
        <v>2</v>
      </c>
      <c r="AT166" s="276">
        <v>0</v>
      </c>
      <c r="AU166" s="279">
        <v>0</v>
      </c>
      <c r="AV166" s="276">
        <v>0</v>
      </c>
      <c r="AW166" s="276">
        <v>0</v>
      </c>
      <c r="AX166" s="279">
        <v>0</v>
      </c>
      <c r="AY166" s="276">
        <v>0</v>
      </c>
      <c r="AZ166" s="276">
        <v>0</v>
      </c>
      <c r="BA166" s="278" t="s">
        <v>551</v>
      </c>
      <c r="BB166" s="276">
        <v>0</v>
      </c>
      <c r="BC166" s="279">
        <v>0</v>
      </c>
      <c r="BD166" s="276">
        <v>0</v>
      </c>
      <c r="BE166" s="276">
        <v>0</v>
      </c>
      <c r="BF166" s="279">
        <v>0</v>
      </c>
      <c r="BG166" s="276">
        <v>0</v>
      </c>
      <c r="BH166" s="276">
        <v>0</v>
      </c>
      <c r="BI166" s="278" t="s">
        <v>550</v>
      </c>
      <c r="BJ166" s="276">
        <v>0</v>
      </c>
      <c r="BK166" s="276">
        <v>0</v>
      </c>
      <c r="BL166" s="276">
        <v>0</v>
      </c>
      <c r="BM166" s="276">
        <v>0</v>
      </c>
      <c r="BN166" s="276">
        <v>0</v>
      </c>
      <c r="BO166" s="276">
        <v>0</v>
      </c>
      <c r="BP166" s="276">
        <v>0</v>
      </c>
    </row>
    <row r="167" spans="1:68" x14ac:dyDescent="0.35">
      <c r="A167" s="277" t="s">
        <v>563</v>
      </c>
      <c r="B167" s="277" t="s">
        <v>562</v>
      </c>
      <c r="C167" s="283" t="s">
        <v>379</v>
      </c>
      <c r="D167" s="277" t="s">
        <v>560</v>
      </c>
      <c r="F167" s="277" t="s">
        <v>833</v>
      </c>
      <c r="K167" s="277" t="s">
        <v>819</v>
      </c>
      <c r="L167" s="277" t="s">
        <v>557</v>
      </c>
      <c r="N167" s="277" t="s">
        <v>820</v>
      </c>
      <c r="O167" s="277" t="s">
        <v>819</v>
      </c>
      <c r="P167" s="277" t="s">
        <v>557</v>
      </c>
      <c r="Q167" s="277" t="s">
        <v>556</v>
      </c>
      <c r="R167" s="277" t="s">
        <v>819</v>
      </c>
      <c r="S167" s="276">
        <v>0</v>
      </c>
      <c r="T167" s="276">
        <v>0</v>
      </c>
      <c r="U167" s="276">
        <v>0</v>
      </c>
      <c r="V167" s="276">
        <v>0</v>
      </c>
      <c r="W167" s="276">
        <v>0</v>
      </c>
      <c r="X167" s="276">
        <v>0</v>
      </c>
      <c r="Y167" s="276">
        <v>0</v>
      </c>
      <c r="Z167" s="276">
        <v>0</v>
      </c>
      <c r="AA167" s="276">
        <v>0</v>
      </c>
      <c r="AB167" s="276">
        <v>0</v>
      </c>
      <c r="AC167" s="276"/>
      <c r="AD167" s="276">
        <v>0</v>
      </c>
      <c r="AE167" s="276"/>
      <c r="AF167" s="276">
        <v>0</v>
      </c>
      <c r="AG167" s="276">
        <v>0</v>
      </c>
      <c r="AH167" s="283" t="s">
        <v>483</v>
      </c>
      <c r="AJ167" s="281" t="s">
        <v>553</v>
      </c>
      <c r="AK167" s="280" t="s">
        <v>552</v>
      </c>
      <c r="AL167" s="276">
        <v>0.84</v>
      </c>
      <c r="AM167" s="279">
        <v>0</v>
      </c>
      <c r="AN167" s="276">
        <v>0</v>
      </c>
      <c r="AO167" s="276">
        <v>0.84</v>
      </c>
      <c r="AP167" s="279">
        <v>0</v>
      </c>
      <c r="AQ167" s="276">
        <v>0</v>
      </c>
      <c r="AR167" s="276">
        <v>0</v>
      </c>
      <c r="AS167" s="271">
        <v>2</v>
      </c>
      <c r="AT167" s="276">
        <v>0</v>
      </c>
      <c r="AU167" s="279">
        <v>0</v>
      </c>
      <c r="AV167" s="276">
        <v>0</v>
      </c>
      <c r="AW167" s="276">
        <v>0</v>
      </c>
      <c r="AX167" s="279">
        <v>0</v>
      </c>
      <c r="AY167" s="276">
        <v>0</v>
      </c>
      <c r="AZ167" s="276">
        <v>0</v>
      </c>
      <c r="BA167" s="278" t="s">
        <v>551</v>
      </c>
      <c r="BB167" s="276">
        <v>0</v>
      </c>
      <c r="BC167" s="279">
        <v>0</v>
      </c>
      <c r="BD167" s="276">
        <v>0</v>
      </c>
      <c r="BE167" s="276">
        <v>0</v>
      </c>
      <c r="BF167" s="279">
        <v>0</v>
      </c>
      <c r="BG167" s="276">
        <v>0</v>
      </c>
      <c r="BH167" s="276">
        <v>0</v>
      </c>
      <c r="BI167" s="278" t="s">
        <v>550</v>
      </c>
      <c r="BJ167" s="276">
        <v>0</v>
      </c>
      <c r="BK167" s="276">
        <v>0</v>
      </c>
      <c r="BL167" s="276">
        <v>0</v>
      </c>
      <c r="BM167" s="276">
        <v>0</v>
      </c>
      <c r="BN167" s="276">
        <v>0</v>
      </c>
      <c r="BO167" s="276">
        <v>0</v>
      </c>
      <c r="BP167" s="276">
        <v>0</v>
      </c>
    </row>
    <row r="168" spans="1:68" x14ac:dyDescent="0.35">
      <c r="A168" s="277" t="s">
        <v>563</v>
      </c>
      <c r="B168" s="277" t="s">
        <v>562</v>
      </c>
      <c r="C168" s="283" t="s">
        <v>383</v>
      </c>
      <c r="D168" s="277" t="s">
        <v>560</v>
      </c>
      <c r="F168" s="277" t="s">
        <v>832</v>
      </c>
      <c r="K168" s="277" t="s">
        <v>819</v>
      </c>
      <c r="L168" s="277" t="s">
        <v>557</v>
      </c>
      <c r="N168" s="277" t="s">
        <v>820</v>
      </c>
      <c r="O168" s="277" t="s">
        <v>819</v>
      </c>
      <c r="P168" s="277" t="s">
        <v>557</v>
      </c>
      <c r="Q168" s="277" t="s">
        <v>556</v>
      </c>
      <c r="R168" s="277" t="s">
        <v>819</v>
      </c>
      <c r="S168" s="276">
        <v>0</v>
      </c>
      <c r="T168" s="276">
        <v>0</v>
      </c>
      <c r="U168" s="276">
        <v>0</v>
      </c>
      <c r="V168" s="276">
        <v>0</v>
      </c>
      <c r="W168" s="276">
        <v>0</v>
      </c>
      <c r="X168" s="276">
        <v>0</v>
      </c>
      <c r="Y168" s="276">
        <v>0</v>
      </c>
      <c r="Z168" s="276">
        <v>0</v>
      </c>
      <c r="AA168" s="276">
        <v>0</v>
      </c>
      <c r="AB168" s="276">
        <v>0</v>
      </c>
      <c r="AC168" s="276"/>
      <c r="AD168" s="276">
        <v>0</v>
      </c>
      <c r="AE168" s="276"/>
      <c r="AF168" s="276">
        <v>0</v>
      </c>
      <c r="AG168" s="276">
        <v>0</v>
      </c>
      <c r="AH168" s="283" t="s">
        <v>483</v>
      </c>
      <c r="AJ168" s="281" t="s">
        <v>553</v>
      </c>
      <c r="AK168" s="280" t="s">
        <v>552</v>
      </c>
      <c r="AL168" s="276">
        <v>0.95</v>
      </c>
      <c r="AM168" s="279">
        <v>0</v>
      </c>
      <c r="AN168" s="276">
        <v>0</v>
      </c>
      <c r="AO168" s="276">
        <v>0.95</v>
      </c>
      <c r="AP168" s="279">
        <v>0</v>
      </c>
      <c r="AQ168" s="276">
        <v>0</v>
      </c>
      <c r="AR168" s="276">
        <v>0</v>
      </c>
      <c r="AS168" s="271">
        <v>2</v>
      </c>
      <c r="AT168" s="276">
        <v>0</v>
      </c>
      <c r="AU168" s="279">
        <v>0</v>
      </c>
      <c r="AV168" s="276">
        <v>0</v>
      </c>
      <c r="AW168" s="276">
        <v>0</v>
      </c>
      <c r="AX168" s="279">
        <v>0</v>
      </c>
      <c r="AY168" s="276">
        <v>0</v>
      </c>
      <c r="AZ168" s="276">
        <v>0</v>
      </c>
      <c r="BA168" s="278" t="s">
        <v>551</v>
      </c>
      <c r="BB168" s="276">
        <v>0</v>
      </c>
      <c r="BC168" s="279">
        <v>0</v>
      </c>
      <c r="BD168" s="276">
        <v>0</v>
      </c>
      <c r="BE168" s="276">
        <v>0</v>
      </c>
      <c r="BF168" s="279">
        <v>0</v>
      </c>
      <c r="BG168" s="276">
        <v>0</v>
      </c>
      <c r="BH168" s="276">
        <v>0</v>
      </c>
      <c r="BI168" s="278" t="s">
        <v>550</v>
      </c>
      <c r="BJ168" s="276">
        <v>0</v>
      </c>
      <c r="BK168" s="276">
        <v>0</v>
      </c>
      <c r="BL168" s="276">
        <v>0</v>
      </c>
      <c r="BM168" s="276">
        <v>0</v>
      </c>
      <c r="BN168" s="276">
        <v>0</v>
      </c>
      <c r="BO168" s="276">
        <v>0</v>
      </c>
      <c r="BP168" s="276">
        <v>0</v>
      </c>
    </row>
    <row r="169" spans="1:68" x14ac:dyDescent="0.35">
      <c r="A169" s="277" t="s">
        <v>563</v>
      </c>
      <c r="B169" s="277" t="s">
        <v>562</v>
      </c>
      <c r="C169" s="283" t="s">
        <v>356</v>
      </c>
      <c r="D169" s="277" t="s">
        <v>560</v>
      </c>
      <c r="F169" s="277" t="s">
        <v>831</v>
      </c>
      <c r="K169" s="277" t="s">
        <v>819</v>
      </c>
      <c r="L169" s="277" t="s">
        <v>557</v>
      </c>
      <c r="N169" s="277" t="s">
        <v>820</v>
      </c>
      <c r="O169" s="277" t="s">
        <v>819</v>
      </c>
      <c r="P169" s="277" t="s">
        <v>557</v>
      </c>
      <c r="Q169" s="277" t="s">
        <v>556</v>
      </c>
      <c r="R169" s="277" t="s">
        <v>819</v>
      </c>
      <c r="S169" s="276">
        <v>0</v>
      </c>
      <c r="T169" s="276">
        <v>0</v>
      </c>
      <c r="U169" s="276">
        <v>0</v>
      </c>
      <c r="V169" s="276">
        <v>0</v>
      </c>
      <c r="W169" s="276">
        <v>0</v>
      </c>
      <c r="X169" s="276">
        <v>0</v>
      </c>
      <c r="Y169" s="276">
        <v>0</v>
      </c>
      <c r="Z169" s="276">
        <v>0</v>
      </c>
      <c r="AA169" s="276">
        <v>0</v>
      </c>
      <c r="AB169" s="276">
        <v>0</v>
      </c>
      <c r="AC169" s="276"/>
      <c r="AD169" s="276">
        <v>0</v>
      </c>
      <c r="AE169" s="276"/>
      <c r="AF169" s="276">
        <v>0</v>
      </c>
      <c r="AG169" s="276">
        <v>0</v>
      </c>
      <c r="AH169" s="283" t="s">
        <v>86</v>
      </c>
      <c r="AI169" s="282" t="s">
        <v>362</v>
      </c>
      <c r="AJ169" s="281" t="s">
        <v>553</v>
      </c>
      <c r="AK169" s="280" t="s">
        <v>552</v>
      </c>
      <c r="AL169" s="276">
        <v>1.33</v>
      </c>
      <c r="AM169" s="279">
        <v>0</v>
      </c>
      <c r="AN169" s="276">
        <v>0</v>
      </c>
      <c r="AO169" s="276">
        <v>1.33</v>
      </c>
      <c r="AP169" s="279">
        <v>0</v>
      </c>
      <c r="AQ169" s="276">
        <v>0</v>
      </c>
      <c r="AR169" s="276">
        <v>0</v>
      </c>
      <c r="AS169" s="271">
        <v>2</v>
      </c>
      <c r="AT169" s="276">
        <v>0</v>
      </c>
      <c r="AU169" s="279">
        <v>0</v>
      </c>
      <c r="AV169" s="276">
        <v>0</v>
      </c>
      <c r="AW169" s="276">
        <v>0</v>
      </c>
      <c r="AX169" s="279">
        <v>0</v>
      </c>
      <c r="AY169" s="276">
        <v>0</v>
      </c>
      <c r="AZ169" s="276">
        <v>0</v>
      </c>
      <c r="BA169" s="278" t="s">
        <v>551</v>
      </c>
      <c r="BB169" s="276">
        <v>0</v>
      </c>
      <c r="BC169" s="279">
        <v>0</v>
      </c>
      <c r="BD169" s="276">
        <v>0</v>
      </c>
      <c r="BE169" s="276">
        <v>0</v>
      </c>
      <c r="BF169" s="279">
        <v>0</v>
      </c>
      <c r="BG169" s="276">
        <v>0</v>
      </c>
      <c r="BH169" s="276">
        <v>0</v>
      </c>
      <c r="BI169" s="278" t="s">
        <v>550</v>
      </c>
      <c r="BJ169" s="276">
        <v>0</v>
      </c>
      <c r="BK169" s="276">
        <v>0</v>
      </c>
      <c r="BL169" s="276">
        <v>0</v>
      </c>
      <c r="BM169" s="276">
        <v>0</v>
      </c>
      <c r="BN169" s="276">
        <v>0</v>
      </c>
      <c r="BO169" s="276">
        <v>0</v>
      </c>
      <c r="BP169" s="276">
        <v>0</v>
      </c>
    </row>
    <row r="170" spans="1:68" x14ac:dyDescent="0.35">
      <c r="A170" s="277" t="s">
        <v>563</v>
      </c>
      <c r="B170" s="277" t="s">
        <v>562</v>
      </c>
      <c r="C170" s="283" t="s">
        <v>358</v>
      </c>
      <c r="D170" s="277" t="s">
        <v>560</v>
      </c>
      <c r="F170" s="277" t="s">
        <v>830</v>
      </c>
      <c r="K170" s="277" t="s">
        <v>819</v>
      </c>
      <c r="L170" s="277" t="s">
        <v>557</v>
      </c>
      <c r="N170" s="277" t="s">
        <v>820</v>
      </c>
      <c r="O170" s="277" t="s">
        <v>819</v>
      </c>
      <c r="P170" s="277" t="s">
        <v>557</v>
      </c>
      <c r="Q170" s="277" t="s">
        <v>556</v>
      </c>
      <c r="R170" s="277" t="s">
        <v>819</v>
      </c>
      <c r="S170" s="276">
        <v>0</v>
      </c>
      <c r="T170" s="276">
        <v>0</v>
      </c>
      <c r="U170" s="276">
        <v>0</v>
      </c>
      <c r="V170" s="276">
        <v>0</v>
      </c>
      <c r="W170" s="276">
        <v>0</v>
      </c>
      <c r="X170" s="276">
        <v>0</v>
      </c>
      <c r="Y170" s="276">
        <v>0</v>
      </c>
      <c r="Z170" s="276">
        <v>0</v>
      </c>
      <c r="AA170" s="276">
        <v>0</v>
      </c>
      <c r="AB170" s="276">
        <v>0</v>
      </c>
      <c r="AC170" s="276"/>
      <c r="AD170" s="276">
        <v>0</v>
      </c>
      <c r="AE170" s="276"/>
      <c r="AF170" s="276">
        <v>0</v>
      </c>
      <c r="AG170" s="276">
        <v>0</v>
      </c>
      <c r="AH170" s="283" t="s">
        <v>86</v>
      </c>
      <c r="AI170" s="282" t="s">
        <v>364</v>
      </c>
      <c r="AJ170" s="281" t="s">
        <v>553</v>
      </c>
      <c r="AK170" s="280" t="s">
        <v>552</v>
      </c>
      <c r="AL170" s="276">
        <v>2.72</v>
      </c>
      <c r="AM170" s="279">
        <v>0</v>
      </c>
      <c r="AN170" s="276">
        <v>0</v>
      </c>
      <c r="AO170" s="276">
        <v>2.72</v>
      </c>
      <c r="AP170" s="279">
        <v>0</v>
      </c>
      <c r="AQ170" s="276">
        <v>0</v>
      </c>
      <c r="AR170" s="276">
        <v>0</v>
      </c>
      <c r="AS170" s="271">
        <v>2</v>
      </c>
      <c r="AT170" s="276">
        <v>0</v>
      </c>
      <c r="AU170" s="279">
        <v>0</v>
      </c>
      <c r="AV170" s="276">
        <v>0</v>
      </c>
      <c r="AW170" s="276">
        <v>0</v>
      </c>
      <c r="AX170" s="279">
        <v>0</v>
      </c>
      <c r="AY170" s="276">
        <v>0</v>
      </c>
      <c r="AZ170" s="276">
        <v>0</v>
      </c>
      <c r="BA170" s="278" t="s">
        <v>551</v>
      </c>
      <c r="BB170" s="276">
        <v>0</v>
      </c>
      <c r="BC170" s="279">
        <v>0</v>
      </c>
      <c r="BD170" s="276">
        <v>0</v>
      </c>
      <c r="BE170" s="276">
        <v>0</v>
      </c>
      <c r="BF170" s="279">
        <v>0</v>
      </c>
      <c r="BG170" s="276">
        <v>0</v>
      </c>
      <c r="BH170" s="276">
        <v>0</v>
      </c>
      <c r="BI170" s="278" t="s">
        <v>550</v>
      </c>
      <c r="BJ170" s="276">
        <v>0</v>
      </c>
      <c r="BK170" s="276">
        <v>0</v>
      </c>
      <c r="BL170" s="276">
        <v>0</v>
      </c>
      <c r="BM170" s="276">
        <v>0</v>
      </c>
      <c r="BN170" s="276">
        <v>0</v>
      </c>
      <c r="BO170" s="276">
        <v>0</v>
      </c>
      <c r="BP170" s="276">
        <v>0</v>
      </c>
    </row>
    <row r="171" spans="1:68" x14ac:dyDescent="0.35">
      <c r="A171" s="277" t="s">
        <v>563</v>
      </c>
      <c r="B171" s="277" t="s">
        <v>562</v>
      </c>
      <c r="C171" s="283" t="s">
        <v>360</v>
      </c>
      <c r="D171" s="277" t="s">
        <v>560</v>
      </c>
      <c r="F171" s="277" t="s">
        <v>829</v>
      </c>
      <c r="K171" s="277" t="s">
        <v>819</v>
      </c>
      <c r="L171" s="277" t="s">
        <v>557</v>
      </c>
      <c r="N171" s="277" t="s">
        <v>820</v>
      </c>
      <c r="O171" s="277" t="s">
        <v>819</v>
      </c>
      <c r="P171" s="277" t="s">
        <v>557</v>
      </c>
      <c r="Q171" s="277" t="s">
        <v>556</v>
      </c>
      <c r="R171" s="277" t="s">
        <v>819</v>
      </c>
      <c r="S171" s="276">
        <v>0</v>
      </c>
      <c r="T171" s="276">
        <v>0</v>
      </c>
      <c r="U171" s="276">
        <v>0</v>
      </c>
      <c r="V171" s="276">
        <v>0</v>
      </c>
      <c r="W171" s="276">
        <v>0</v>
      </c>
      <c r="X171" s="276">
        <v>0</v>
      </c>
      <c r="Y171" s="276">
        <v>0</v>
      </c>
      <c r="Z171" s="276">
        <v>0</v>
      </c>
      <c r="AA171" s="276">
        <v>0</v>
      </c>
      <c r="AB171" s="276">
        <v>0</v>
      </c>
      <c r="AC171" s="276"/>
      <c r="AD171" s="276">
        <v>0</v>
      </c>
      <c r="AE171" s="276"/>
      <c r="AF171" s="276">
        <v>0</v>
      </c>
      <c r="AG171" s="276">
        <v>0</v>
      </c>
      <c r="AH171" s="283" t="s">
        <v>86</v>
      </c>
      <c r="AI171" s="282" t="s">
        <v>366</v>
      </c>
      <c r="AJ171" s="281" t="s">
        <v>553</v>
      </c>
      <c r="AK171" s="280" t="s">
        <v>552</v>
      </c>
      <c r="AL171" s="276">
        <v>1.38</v>
      </c>
      <c r="AM171" s="279">
        <v>0</v>
      </c>
      <c r="AN171" s="276">
        <v>0</v>
      </c>
      <c r="AO171" s="276">
        <v>1.38</v>
      </c>
      <c r="AP171" s="279">
        <v>0</v>
      </c>
      <c r="AQ171" s="276">
        <v>0</v>
      </c>
      <c r="AR171" s="276">
        <v>0</v>
      </c>
      <c r="AS171" s="271">
        <v>2</v>
      </c>
      <c r="AT171" s="276">
        <v>0</v>
      </c>
      <c r="AU171" s="279">
        <v>0</v>
      </c>
      <c r="AV171" s="276">
        <v>0</v>
      </c>
      <c r="AW171" s="276">
        <v>0</v>
      </c>
      <c r="AX171" s="279">
        <v>0</v>
      </c>
      <c r="AY171" s="276">
        <v>0</v>
      </c>
      <c r="AZ171" s="276">
        <v>0</v>
      </c>
      <c r="BA171" s="278" t="s">
        <v>551</v>
      </c>
      <c r="BB171" s="276">
        <v>0</v>
      </c>
      <c r="BC171" s="279">
        <v>0</v>
      </c>
      <c r="BD171" s="276">
        <v>0</v>
      </c>
      <c r="BE171" s="276">
        <v>0</v>
      </c>
      <c r="BF171" s="279">
        <v>0</v>
      </c>
      <c r="BG171" s="276">
        <v>0</v>
      </c>
      <c r="BH171" s="276">
        <v>0</v>
      </c>
      <c r="BI171" s="278" t="s">
        <v>550</v>
      </c>
      <c r="BJ171" s="276">
        <v>0</v>
      </c>
      <c r="BK171" s="276">
        <v>0</v>
      </c>
      <c r="BL171" s="276">
        <v>0</v>
      </c>
      <c r="BM171" s="276">
        <v>0</v>
      </c>
      <c r="BN171" s="276">
        <v>0</v>
      </c>
      <c r="BO171" s="276">
        <v>0</v>
      </c>
      <c r="BP171" s="276">
        <v>0</v>
      </c>
    </row>
    <row r="172" spans="1:68" x14ac:dyDescent="0.35">
      <c r="A172" s="277" t="s">
        <v>563</v>
      </c>
      <c r="B172" s="277" t="s">
        <v>562</v>
      </c>
      <c r="C172" s="283" t="s">
        <v>362</v>
      </c>
      <c r="D172" s="277" t="s">
        <v>560</v>
      </c>
      <c r="F172" s="277" t="s">
        <v>828</v>
      </c>
      <c r="K172" s="277" t="s">
        <v>819</v>
      </c>
      <c r="L172" s="277" t="s">
        <v>557</v>
      </c>
      <c r="N172" s="277" t="s">
        <v>820</v>
      </c>
      <c r="O172" s="277" t="s">
        <v>819</v>
      </c>
      <c r="P172" s="277" t="s">
        <v>557</v>
      </c>
      <c r="Q172" s="277" t="s">
        <v>556</v>
      </c>
      <c r="R172" s="277" t="s">
        <v>819</v>
      </c>
      <c r="S172" s="276">
        <v>0</v>
      </c>
      <c r="T172" s="276">
        <v>0</v>
      </c>
      <c r="U172" s="276">
        <v>0</v>
      </c>
      <c r="V172" s="276">
        <v>0</v>
      </c>
      <c r="W172" s="276">
        <v>0</v>
      </c>
      <c r="X172" s="276">
        <v>0</v>
      </c>
      <c r="Y172" s="276">
        <v>0</v>
      </c>
      <c r="Z172" s="276">
        <v>0</v>
      </c>
      <c r="AA172" s="276">
        <v>0</v>
      </c>
      <c r="AB172" s="276">
        <v>0</v>
      </c>
      <c r="AC172" s="276"/>
      <c r="AD172" s="276">
        <v>0</v>
      </c>
      <c r="AE172" s="276"/>
      <c r="AF172" s="276">
        <v>0</v>
      </c>
      <c r="AG172" s="276">
        <v>0</v>
      </c>
      <c r="AH172" s="283" t="s">
        <v>483</v>
      </c>
      <c r="AJ172" s="281" t="s">
        <v>553</v>
      </c>
      <c r="AK172" s="280" t="s">
        <v>552</v>
      </c>
      <c r="AL172" s="276">
        <v>0.84</v>
      </c>
      <c r="AM172" s="279">
        <v>0</v>
      </c>
      <c r="AN172" s="276">
        <v>0</v>
      </c>
      <c r="AO172" s="276">
        <v>0.84</v>
      </c>
      <c r="AP172" s="279">
        <v>0</v>
      </c>
      <c r="AQ172" s="276">
        <v>0</v>
      </c>
      <c r="AR172" s="276">
        <v>0</v>
      </c>
      <c r="AS172" s="271">
        <v>2</v>
      </c>
      <c r="AT172" s="276">
        <v>0</v>
      </c>
      <c r="AU172" s="279">
        <v>0</v>
      </c>
      <c r="AV172" s="276">
        <v>0</v>
      </c>
      <c r="AW172" s="276">
        <v>0</v>
      </c>
      <c r="AX172" s="279">
        <v>0</v>
      </c>
      <c r="AY172" s="276">
        <v>0</v>
      </c>
      <c r="AZ172" s="276">
        <v>0</v>
      </c>
      <c r="BA172" s="278" t="s">
        <v>551</v>
      </c>
      <c r="BB172" s="276">
        <v>0</v>
      </c>
      <c r="BC172" s="279">
        <v>0</v>
      </c>
      <c r="BD172" s="276">
        <v>0</v>
      </c>
      <c r="BE172" s="276">
        <v>0</v>
      </c>
      <c r="BF172" s="279">
        <v>0</v>
      </c>
      <c r="BG172" s="276">
        <v>0</v>
      </c>
      <c r="BH172" s="276">
        <v>0</v>
      </c>
      <c r="BI172" s="278" t="s">
        <v>550</v>
      </c>
      <c r="BJ172" s="276">
        <v>0</v>
      </c>
      <c r="BK172" s="276">
        <v>0</v>
      </c>
      <c r="BL172" s="276">
        <v>0</v>
      </c>
      <c r="BM172" s="276">
        <v>0</v>
      </c>
      <c r="BN172" s="276">
        <v>0</v>
      </c>
      <c r="BO172" s="276">
        <v>0</v>
      </c>
      <c r="BP172" s="276">
        <v>0</v>
      </c>
    </row>
    <row r="173" spans="1:68" x14ac:dyDescent="0.35">
      <c r="A173" s="277" t="s">
        <v>563</v>
      </c>
      <c r="B173" s="277" t="s">
        <v>562</v>
      </c>
      <c r="C173" s="283" t="s">
        <v>364</v>
      </c>
      <c r="D173" s="277" t="s">
        <v>560</v>
      </c>
      <c r="F173" s="277" t="s">
        <v>827</v>
      </c>
      <c r="K173" s="277" t="s">
        <v>819</v>
      </c>
      <c r="L173" s="277" t="s">
        <v>557</v>
      </c>
      <c r="N173" s="277" t="s">
        <v>820</v>
      </c>
      <c r="O173" s="277" t="s">
        <v>819</v>
      </c>
      <c r="P173" s="277" t="s">
        <v>557</v>
      </c>
      <c r="Q173" s="277" t="s">
        <v>556</v>
      </c>
      <c r="R173" s="277" t="s">
        <v>819</v>
      </c>
      <c r="S173" s="276">
        <v>0</v>
      </c>
      <c r="T173" s="276">
        <v>0</v>
      </c>
      <c r="U173" s="276">
        <v>0</v>
      </c>
      <c r="V173" s="276">
        <v>0</v>
      </c>
      <c r="W173" s="276">
        <v>0</v>
      </c>
      <c r="X173" s="276">
        <v>0</v>
      </c>
      <c r="Y173" s="276">
        <v>0</v>
      </c>
      <c r="Z173" s="276">
        <v>0</v>
      </c>
      <c r="AA173" s="276">
        <v>0</v>
      </c>
      <c r="AB173" s="276">
        <v>0</v>
      </c>
      <c r="AC173" s="276"/>
      <c r="AD173" s="276">
        <v>0</v>
      </c>
      <c r="AE173" s="276"/>
      <c r="AF173" s="276">
        <v>0</v>
      </c>
      <c r="AG173" s="276">
        <v>0</v>
      </c>
      <c r="AH173" s="283" t="s">
        <v>483</v>
      </c>
      <c r="AJ173" s="281" t="s">
        <v>553</v>
      </c>
      <c r="AK173" s="280" t="s">
        <v>552</v>
      </c>
      <c r="AL173" s="276">
        <v>1.27</v>
      </c>
      <c r="AM173" s="279">
        <v>0</v>
      </c>
      <c r="AN173" s="276">
        <v>0</v>
      </c>
      <c r="AO173" s="276">
        <v>1.27</v>
      </c>
      <c r="AP173" s="279">
        <v>0</v>
      </c>
      <c r="AQ173" s="276">
        <v>0</v>
      </c>
      <c r="AR173" s="276">
        <v>0</v>
      </c>
      <c r="AS173" s="271">
        <v>2</v>
      </c>
      <c r="AT173" s="276">
        <v>0</v>
      </c>
      <c r="AU173" s="279">
        <v>0</v>
      </c>
      <c r="AV173" s="276">
        <v>0</v>
      </c>
      <c r="AW173" s="276">
        <v>0</v>
      </c>
      <c r="AX173" s="279">
        <v>0</v>
      </c>
      <c r="AY173" s="276">
        <v>0</v>
      </c>
      <c r="AZ173" s="276">
        <v>0</v>
      </c>
      <c r="BA173" s="278" t="s">
        <v>551</v>
      </c>
      <c r="BB173" s="276">
        <v>0</v>
      </c>
      <c r="BC173" s="279">
        <v>0</v>
      </c>
      <c r="BD173" s="276">
        <v>0</v>
      </c>
      <c r="BE173" s="276">
        <v>0</v>
      </c>
      <c r="BF173" s="279">
        <v>0</v>
      </c>
      <c r="BG173" s="276">
        <v>0</v>
      </c>
      <c r="BH173" s="276">
        <v>0</v>
      </c>
      <c r="BI173" s="278" t="s">
        <v>550</v>
      </c>
      <c r="BJ173" s="276">
        <v>0</v>
      </c>
      <c r="BK173" s="276">
        <v>0</v>
      </c>
      <c r="BL173" s="276">
        <v>0</v>
      </c>
      <c r="BM173" s="276">
        <v>0</v>
      </c>
      <c r="BN173" s="276">
        <v>0</v>
      </c>
      <c r="BO173" s="276">
        <v>0</v>
      </c>
      <c r="BP173" s="276">
        <v>0</v>
      </c>
    </row>
    <row r="174" spans="1:68" x14ac:dyDescent="0.35">
      <c r="A174" s="277" t="s">
        <v>563</v>
      </c>
      <c r="B174" s="277" t="s">
        <v>562</v>
      </c>
      <c r="C174" s="283" t="s">
        <v>366</v>
      </c>
      <c r="D174" s="277" t="s">
        <v>560</v>
      </c>
      <c r="F174" s="277" t="s">
        <v>826</v>
      </c>
      <c r="K174" s="277" t="s">
        <v>819</v>
      </c>
      <c r="L174" s="277" t="s">
        <v>557</v>
      </c>
      <c r="N174" s="277" t="s">
        <v>820</v>
      </c>
      <c r="O174" s="277" t="s">
        <v>819</v>
      </c>
      <c r="P174" s="277" t="s">
        <v>557</v>
      </c>
      <c r="Q174" s="277" t="s">
        <v>556</v>
      </c>
      <c r="R174" s="277" t="s">
        <v>819</v>
      </c>
      <c r="S174" s="276">
        <v>0</v>
      </c>
      <c r="T174" s="276">
        <v>0</v>
      </c>
      <c r="U174" s="276">
        <v>0</v>
      </c>
      <c r="V174" s="276">
        <v>0</v>
      </c>
      <c r="W174" s="276">
        <v>0</v>
      </c>
      <c r="X174" s="276">
        <v>0</v>
      </c>
      <c r="Y174" s="276">
        <v>0</v>
      </c>
      <c r="Z174" s="276">
        <v>0</v>
      </c>
      <c r="AA174" s="276">
        <v>0</v>
      </c>
      <c r="AB174" s="276">
        <v>0</v>
      </c>
      <c r="AC174" s="276"/>
      <c r="AD174" s="276">
        <v>0</v>
      </c>
      <c r="AE174" s="276"/>
      <c r="AF174" s="276">
        <v>0</v>
      </c>
      <c r="AG174" s="276">
        <v>0</v>
      </c>
      <c r="AH174" s="283" t="s">
        <v>483</v>
      </c>
      <c r="AJ174" s="281" t="s">
        <v>553</v>
      </c>
      <c r="AK174" s="280" t="s">
        <v>552</v>
      </c>
      <c r="AL174" s="276">
        <v>0.95</v>
      </c>
      <c r="AM174" s="279">
        <v>0</v>
      </c>
      <c r="AN174" s="276">
        <v>0</v>
      </c>
      <c r="AO174" s="276">
        <v>0.95</v>
      </c>
      <c r="AP174" s="279">
        <v>0</v>
      </c>
      <c r="AQ174" s="276">
        <v>0</v>
      </c>
      <c r="AR174" s="276">
        <v>0</v>
      </c>
      <c r="AS174" s="271">
        <v>2</v>
      </c>
      <c r="AT174" s="276">
        <v>0</v>
      </c>
      <c r="AU174" s="279">
        <v>0</v>
      </c>
      <c r="AV174" s="276">
        <v>0</v>
      </c>
      <c r="AW174" s="276">
        <v>0</v>
      </c>
      <c r="AX174" s="279">
        <v>0</v>
      </c>
      <c r="AY174" s="276">
        <v>0</v>
      </c>
      <c r="AZ174" s="276">
        <v>0</v>
      </c>
      <c r="BA174" s="278" t="s">
        <v>551</v>
      </c>
      <c r="BB174" s="276">
        <v>0</v>
      </c>
      <c r="BC174" s="279">
        <v>0</v>
      </c>
      <c r="BD174" s="276">
        <v>0</v>
      </c>
      <c r="BE174" s="276">
        <v>0</v>
      </c>
      <c r="BF174" s="279">
        <v>0</v>
      </c>
      <c r="BG174" s="276">
        <v>0</v>
      </c>
      <c r="BH174" s="276">
        <v>0</v>
      </c>
      <c r="BI174" s="278" t="s">
        <v>550</v>
      </c>
      <c r="BJ174" s="276">
        <v>0</v>
      </c>
      <c r="BK174" s="276">
        <v>0</v>
      </c>
      <c r="BL174" s="276">
        <v>0</v>
      </c>
      <c r="BM174" s="276">
        <v>0</v>
      </c>
      <c r="BN174" s="276">
        <v>0</v>
      </c>
      <c r="BO174" s="276">
        <v>0</v>
      </c>
      <c r="BP174" s="276">
        <v>0</v>
      </c>
    </row>
    <row r="175" spans="1:68" x14ac:dyDescent="0.35">
      <c r="A175" s="277" t="s">
        <v>563</v>
      </c>
      <c r="B175" s="277" t="s">
        <v>562</v>
      </c>
      <c r="C175" s="283" t="s">
        <v>307</v>
      </c>
      <c r="D175" s="277" t="s">
        <v>560</v>
      </c>
      <c r="F175" s="277" t="s">
        <v>825</v>
      </c>
      <c r="H175" s="277" t="s">
        <v>144</v>
      </c>
      <c r="K175" s="277" t="s">
        <v>819</v>
      </c>
      <c r="L175" s="277" t="s">
        <v>557</v>
      </c>
      <c r="N175" s="277" t="s">
        <v>820</v>
      </c>
      <c r="O175" s="277" t="s">
        <v>819</v>
      </c>
      <c r="P175" s="277" t="s">
        <v>557</v>
      </c>
      <c r="Q175" s="277" t="s">
        <v>556</v>
      </c>
      <c r="R175" s="277" t="s">
        <v>819</v>
      </c>
      <c r="S175" s="276">
        <v>0</v>
      </c>
      <c r="T175" s="276">
        <v>0</v>
      </c>
      <c r="U175" s="276">
        <v>0</v>
      </c>
      <c r="V175" s="276">
        <v>0</v>
      </c>
      <c r="W175" s="276">
        <v>0</v>
      </c>
      <c r="X175" s="276">
        <v>0</v>
      </c>
      <c r="Y175" s="276">
        <v>0</v>
      </c>
      <c r="Z175" s="276">
        <v>0</v>
      </c>
      <c r="AA175" s="276">
        <v>0</v>
      </c>
      <c r="AB175" s="276">
        <v>0</v>
      </c>
      <c r="AC175" s="276"/>
      <c r="AD175" s="276">
        <v>0</v>
      </c>
      <c r="AE175" s="276"/>
      <c r="AF175" s="276">
        <v>0</v>
      </c>
      <c r="AG175" s="276">
        <v>0</v>
      </c>
      <c r="AH175" s="283" t="s">
        <v>86</v>
      </c>
      <c r="AI175" s="282" t="s">
        <v>309</v>
      </c>
      <c r="AJ175" s="281" t="s">
        <v>553</v>
      </c>
      <c r="AK175" s="280" t="s">
        <v>552</v>
      </c>
      <c r="AL175" s="276">
        <v>0</v>
      </c>
      <c r="AM175" s="279">
        <v>50</v>
      </c>
      <c r="AN175" s="276">
        <v>0</v>
      </c>
      <c r="AO175" s="276">
        <v>0</v>
      </c>
      <c r="AP175" s="279">
        <v>0</v>
      </c>
      <c r="AQ175" s="276">
        <v>0.83</v>
      </c>
      <c r="AR175" s="276">
        <v>0</v>
      </c>
      <c r="AS175" s="271">
        <v>2</v>
      </c>
      <c r="AT175" s="276">
        <v>1.05</v>
      </c>
      <c r="AU175" s="279">
        <v>300</v>
      </c>
      <c r="AV175" s="276">
        <v>0</v>
      </c>
      <c r="AW175" s="276">
        <v>0</v>
      </c>
      <c r="AX175" s="279">
        <v>0</v>
      </c>
      <c r="AY175" s="276">
        <v>0</v>
      </c>
      <c r="AZ175" s="276">
        <v>0</v>
      </c>
      <c r="BA175" s="278" t="s">
        <v>551</v>
      </c>
      <c r="BB175" s="276">
        <v>1.24</v>
      </c>
      <c r="BC175" s="279">
        <v>250</v>
      </c>
      <c r="BD175" s="276">
        <v>0</v>
      </c>
      <c r="BE175" s="276">
        <v>0</v>
      </c>
      <c r="BF175" s="279">
        <v>0</v>
      </c>
      <c r="BG175" s="276">
        <v>0</v>
      </c>
      <c r="BH175" s="276">
        <v>0</v>
      </c>
      <c r="BI175" s="278" t="s">
        <v>550</v>
      </c>
      <c r="BJ175" s="276">
        <v>1.4630000000000001</v>
      </c>
      <c r="BK175" s="276">
        <v>0</v>
      </c>
      <c r="BL175" s="276">
        <v>0</v>
      </c>
      <c r="BM175" s="276">
        <v>0</v>
      </c>
      <c r="BN175" s="276">
        <v>0</v>
      </c>
      <c r="BO175" s="276">
        <v>0</v>
      </c>
      <c r="BP175" s="276">
        <v>0</v>
      </c>
    </row>
    <row r="176" spans="1:68" x14ac:dyDescent="0.35">
      <c r="A176" s="277" t="s">
        <v>563</v>
      </c>
      <c r="B176" s="277" t="s">
        <v>562</v>
      </c>
      <c r="C176" s="283" t="s">
        <v>309</v>
      </c>
      <c r="D176" s="277" t="s">
        <v>560</v>
      </c>
      <c r="F176" s="277" t="s">
        <v>824</v>
      </c>
      <c r="H176" s="277" t="s">
        <v>144</v>
      </c>
      <c r="K176" s="277" t="s">
        <v>819</v>
      </c>
      <c r="L176" s="277" t="s">
        <v>557</v>
      </c>
      <c r="N176" s="277" t="s">
        <v>820</v>
      </c>
      <c r="O176" s="277" t="s">
        <v>819</v>
      </c>
      <c r="P176" s="277" t="s">
        <v>557</v>
      </c>
      <c r="Q176" s="277" t="s">
        <v>556</v>
      </c>
      <c r="R176" s="277" t="s">
        <v>819</v>
      </c>
      <c r="S176" s="276">
        <v>0</v>
      </c>
      <c r="T176" s="276">
        <v>0</v>
      </c>
      <c r="U176" s="276">
        <v>0</v>
      </c>
      <c r="V176" s="276">
        <v>0</v>
      </c>
      <c r="W176" s="276">
        <v>0</v>
      </c>
      <c r="X176" s="276">
        <v>0</v>
      </c>
      <c r="Y176" s="276">
        <v>0</v>
      </c>
      <c r="Z176" s="276">
        <v>0</v>
      </c>
      <c r="AA176" s="276">
        <v>0</v>
      </c>
      <c r="AB176" s="276">
        <v>0</v>
      </c>
      <c r="AC176" s="276"/>
      <c r="AD176" s="276">
        <v>0</v>
      </c>
      <c r="AE176" s="276"/>
      <c r="AF176" s="276">
        <v>0</v>
      </c>
      <c r="AG176" s="276">
        <v>0</v>
      </c>
      <c r="AH176" s="283" t="s">
        <v>483</v>
      </c>
      <c r="AJ176" s="281" t="s">
        <v>553</v>
      </c>
      <c r="AK176" s="280" t="s">
        <v>552</v>
      </c>
      <c r="AL176" s="276">
        <v>0</v>
      </c>
      <c r="AM176" s="279">
        <v>50</v>
      </c>
      <c r="AN176" s="276">
        <v>0</v>
      </c>
      <c r="AO176" s="276">
        <v>0</v>
      </c>
      <c r="AP176" s="279">
        <v>0</v>
      </c>
      <c r="AQ176" s="276">
        <v>0.76</v>
      </c>
      <c r="AR176" s="276">
        <v>0</v>
      </c>
      <c r="AS176" s="271">
        <v>2</v>
      </c>
      <c r="AT176" s="276">
        <v>0.97</v>
      </c>
      <c r="AU176" s="279">
        <v>300</v>
      </c>
      <c r="AV176" s="276">
        <v>0</v>
      </c>
      <c r="AW176" s="276">
        <v>0</v>
      </c>
      <c r="AX176" s="279">
        <v>0</v>
      </c>
      <c r="AY176" s="276">
        <v>0</v>
      </c>
      <c r="AZ176" s="276">
        <v>0</v>
      </c>
      <c r="BA176" s="278" t="s">
        <v>551</v>
      </c>
      <c r="BB176" s="276">
        <v>1.1599999999999999</v>
      </c>
      <c r="BC176" s="279">
        <v>250</v>
      </c>
      <c r="BD176" s="276">
        <v>0</v>
      </c>
      <c r="BE176" s="276">
        <v>0</v>
      </c>
      <c r="BF176" s="279">
        <v>0</v>
      </c>
      <c r="BG176" s="276">
        <v>0</v>
      </c>
      <c r="BH176" s="276">
        <v>0</v>
      </c>
      <c r="BI176" s="278" t="s">
        <v>550</v>
      </c>
      <c r="BJ176" s="276">
        <v>1.39</v>
      </c>
      <c r="BK176" s="276">
        <v>0</v>
      </c>
      <c r="BL176" s="276">
        <v>0</v>
      </c>
      <c r="BM176" s="276">
        <v>0</v>
      </c>
      <c r="BN176" s="276">
        <v>0</v>
      </c>
      <c r="BO176" s="276">
        <v>0</v>
      </c>
      <c r="BP176" s="276">
        <v>0</v>
      </c>
    </row>
    <row r="177" spans="1:68" x14ac:dyDescent="0.35">
      <c r="A177" s="277" t="s">
        <v>563</v>
      </c>
      <c r="B177" s="277" t="s">
        <v>562</v>
      </c>
      <c r="C177" s="283" t="s">
        <v>479</v>
      </c>
      <c r="D177" s="277" t="s">
        <v>560</v>
      </c>
      <c r="F177" s="277" t="s">
        <v>481</v>
      </c>
      <c r="K177" s="277" t="s">
        <v>819</v>
      </c>
      <c r="L177" s="277" t="s">
        <v>557</v>
      </c>
      <c r="N177" s="277" t="s">
        <v>820</v>
      </c>
      <c r="O177" s="277" t="s">
        <v>819</v>
      </c>
      <c r="P177" s="277" t="s">
        <v>557</v>
      </c>
      <c r="Q177" s="277" t="s">
        <v>556</v>
      </c>
      <c r="R177" s="277" t="s">
        <v>819</v>
      </c>
      <c r="S177" s="276">
        <v>0</v>
      </c>
      <c r="T177" s="276">
        <v>0</v>
      </c>
      <c r="U177" s="276">
        <v>0</v>
      </c>
      <c r="V177" s="276">
        <v>0</v>
      </c>
      <c r="W177" s="276">
        <v>0</v>
      </c>
      <c r="X177" s="276">
        <v>0</v>
      </c>
      <c r="Y177" s="276">
        <v>0</v>
      </c>
      <c r="Z177" s="276">
        <v>0</v>
      </c>
      <c r="AA177" s="276">
        <v>0</v>
      </c>
      <c r="AB177" s="276">
        <v>0</v>
      </c>
      <c r="AC177" s="276"/>
      <c r="AD177" s="276">
        <v>0</v>
      </c>
      <c r="AE177" s="276"/>
      <c r="AF177" s="276">
        <v>0</v>
      </c>
      <c r="AG177" s="276">
        <v>0</v>
      </c>
      <c r="AH177" s="283" t="s">
        <v>483</v>
      </c>
      <c r="AJ177" s="281" t="s">
        <v>553</v>
      </c>
      <c r="AK177" s="280" t="s">
        <v>552</v>
      </c>
      <c r="AL177" s="276">
        <v>0</v>
      </c>
      <c r="AM177" s="279">
        <v>0</v>
      </c>
      <c r="AN177" s="276">
        <v>0</v>
      </c>
      <c r="AO177" s="276">
        <v>0</v>
      </c>
      <c r="AP177" s="279">
        <v>0</v>
      </c>
      <c r="AQ177" s="276">
        <v>0</v>
      </c>
      <c r="AR177" s="276">
        <v>0</v>
      </c>
      <c r="AS177" s="271">
        <v>2</v>
      </c>
      <c r="AT177" s="276">
        <v>0</v>
      </c>
      <c r="AU177" s="279">
        <v>0</v>
      </c>
      <c r="AV177" s="276">
        <v>0</v>
      </c>
      <c r="AW177" s="276">
        <v>0</v>
      </c>
      <c r="AX177" s="279">
        <v>0</v>
      </c>
      <c r="AY177" s="276">
        <v>0</v>
      </c>
      <c r="AZ177" s="276">
        <v>0</v>
      </c>
      <c r="BA177" s="278" t="s">
        <v>551</v>
      </c>
      <c r="BB177" s="276">
        <v>0</v>
      </c>
      <c r="BC177" s="279">
        <v>0</v>
      </c>
      <c r="BD177" s="276">
        <v>0</v>
      </c>
      <c r="BE177" s="276">
        <v>0</v>
      </c>
      <c r="BF177" s="279">
        <v>0</v>
      </c>
      <c r="BG177" s="276">
        <v>0</v>
      </c>
      <c r="BH177" s="276">
        <v>0</v>
      </c>
      <c r="BI177" s="278" t="s">
        <v>550</v>
      </c>
      <c r="BJ177" s="276">
        <v>0</v>
      </c>
      <c r="BK177" s="276">
        <v>0</v>
      </c>
      <c r="BL177" s="276">
        <v>0</v>
      </c>
      <c r="BM177" s="276">
        <v>0</v>
      </c>
      <c r="BN177" s="276">
        <v>0</v>
      </c>
      <c r="BO177" s="276">
        <v>0</v>
      </c>
      <c r="BP177" s="276">
        <v>0</v>
      </c>
    </row>
    <row r="178" spans="1:68" x14ac:dyDescent="0.35">
      <c r="A178" s="277" t="s">
        <v>563</v>
      </c>
      <c r="B178" s="277" t="s">
        <v>562</v>
      </c>
      <c r="C178" s="283" t="s">
        <v>480</v>
      </c>
      <c r="D178" s="277" t="s">
        <v>560</v>
      </c>
      <c r="F178" s="277" t="s">
        <v>482</v>
      </c>
      <c r="K178" s="277" t="s">
        <v>819</v>
      </c>
      <c r="L178" s="277" t="s">
        <v>557</v>
      </c>
      <c r="N178" s="277" t="s">
        <v>820</v>
      </c>
      <c r="O178" s="277" t="s">
        <v>819</v>
      </c>
      <c r="P178" s="277" t="s">
        <v>557</v>
      </c>
      <c r="Q178" s="277" t="s">
        <v>556</v>
      </c>
      <c r="R178" s="277" t="s">
        <v>819</v>
      </c>
      <c r="S178" s="276">
        <v>0</v>
      </c>
      <c r="T178" s="276">
        <v>0</v>
      </c>
      <c r="U178" s="276">
        <v>0</v>
      </c>
      <c r="V178" s="276">
        <v>0</v>
      </c>
      <c r="W178" s="276">
        <v>0</v>
      </c>
      <c r="X178" s="276">
        <v>0</v>
      </c>
      <c r="Y178" s="276">
        <v>0</v>
      </c>
      <c r="Z178" s="276">
        <v>0</v>
      </c>
      <c r="AA178" s="276">
        <v>0</v>
      </c>
      <c r="AB178" s="276">
        <v>0</v>
      </c>
      <c r="AC178" s="276"/>
      <c r="AD178" s="276">
        <v>0</v>
      </c>
      <c r="AE178" s="276"/>
      <c r="AF178" s="276">
        <v>0</v>
      </c>
      <c r="AG178" s="276">
        <v>0</v>
      </c>
      <c r="AH178" s="283" t="s">
        <v>483</v>
      </c>
      <c r="AJ178" s="281" t="s">
        <v>553</v>
      </c>
      <c r="AK178" s="280" t="s">
        <v>552</v>
      </c>
      <c r="AL178" s="276">
        <v>0.96</v>
      </c>
      <c r="AM178" s="279">
        <v>0</v>
      </c>
      <c r="AN178" s="276">
        <v>0</v>
      </c>
      <c r="AO178" s="276">
        <v>0.96</v>
      </c>
      <c r="AP178" s="279">
        <v>0</v>
      </c>
      <c r="AQ178" s="276">
        <v>0</v>
      </c>
      <c r="AR178" s="276">
        <v>0</v>
      </c>
      <c r="AS178" s="271">
        <v>2</v>
      </c>
      <c r="AT178" s="276">
        <v>0</v>
      </c>
      <c r="AU178" s="279">
        <v>0</v>
      </c>
      <c r="AV178" s="276">
        <v>0</v>
      </c>
      <c r="AW178" s="276">
        <v>0</v>
      </c>
      <c r="AX178" s="279">
        <v>0</v>
      </c>
      <c r="AY178" s="276">
        <v>0</v>
      </c>
      <c r="AZ178" s="276">
        <v>0</v>
      </c>
      <c r="BA178" s="278" t="s">
        <v>551</v>
      </c>
      <c r="BB178" s="276">
        <v>0</v>
      </c>
      <c r="BC178" s="279">
        <v>0</v>
      </c>
      <c r="BD178" s="276">
        <v>0</v>
      </c>
      <c r="BE178" s="276">
        <v>0</v>
      </c>
      <c r="BF178" s="279">
        <v>0</v>
      </c>
      <c r="BG178" s="276">
        <v>0</v>
      </c>
      <c r="BH178" s="276">
        <v>0</v>
      </c>
      <c r="BI178" s="278" t="s">
        <v>550</v>
      </c>
      <c r="BJ178" s="276">
        <v>0</v>
      </c>
      <c r="BK178" s="276">
        <v>0</v>
      </c>
      <c r="BL178" s="276">
        <v>0</v>
      </c>
      <c r="BM178" s="276">
        <v>0</v>
      </c>
      <c r="BN178" s="276">
        <v>0</v>
      </c>
      <c r="BO178" s="276">
        <v>0</v>
      </c>
      <c r="BP178" s="276">
        <v>0</v>
      </c>
    </row>
    <row r="179" spans="1:68" x14ac:dyDescent="0.35">
      <c r="A179" s="277" t="s">
        <v>563</v>
      </c>
      <c r="B179" s="277" t="s">
        <v>562</v>
      </c>
      <c r="C179" s="283" t="s">
        <v>278</v>
      </c>
      <c r="D179" s="277" t="s">
        <v>560</v>
      </c>
      <c r="F179" s="277" t="s">
        <v>823</v>
      </c>
      <c r="K179" s="277" t="s">
        <v>819</v>
      </c>
      <c r="L179" s="277" t="s">
        <v>557</v>
      </c>
      <c r="N179" s="277" t="s">
        <v>820</v>
      </c>
      <c r="O179" s="277" t="s">
        <v>819</v>
      </c>
      <c r="P179" s="277" t="s">
        <v>557</v>
      </c>
      <c r="Q179" s="277" t="s">
        <v>556</v>
      </c>
      <c r="R179" s="277" t="s">
        <v>819</v>
      </c>
      <c r="S179" s="276">
        <v>0</v>
      </c>
      <c r="T179" s="276">
        <v>0</v>
      </c>
      <c r="U179" s="276">
        <v>0</v>
      </c>
      <c r="V179" s="276">
        <v>0</v>
      </c>
      <c r="W179" s="276">
        <v>0</v>
      </c>
      <c r="X179" s="276">
        <v>0</v>
      </c>
      <c r="Y179" s="276">
        <v>0</v>
      </c>
      <c r="Z179" s="276">
        <v>0</v>
      </c>
      <c r="AA179" s="276">
        <v>0</v>
      </c>
      <c r="AB179" s="276">
        <v>0</v>
      </c>
      <c r="AC179" s="276"/>
      <c r="AD179" s="276">
        <v>0</v>
      </c>
      <c r="AE179" s="276"/>
      <c r="AF179" s="276">
        <v>0</v>
      </c>
      <c r="AG179" s="276">
        <v>0</v>
      </c>
      <c r="AH179" s="283" t="s">
        <v>86</v>
      </c>
      <c r="AI179" s="282" t="s">
        <v>480</v>
      </c>
      <c r="AJ179" s="281" t="s">
        <v>553</v>
      </c>
      <c r="AK179" s="280" t="s">
        <v>552</v>
      </c>
      <c r="AL179" s="276">
        <v>1.73</v>
      </c>
      <c r="AM179" s="279">
        <v>0</v>
      </c>
      <c r="AN179" s="276">
        <v>0</v>
      </c>
      <c r="AO179" s="276">
        <v>1.73</v>
      </c>
      <c r="AP179" s="279">
        <v>0</v>
      </c>
      <c r="AQ179" s="276">
        <v>0</v>
      </c>
      <c r="AR179" s="276">
        <v>0</v>
      </c>
      <c r="AS179" s="271">
        <v>2</v>
      </c>
      <c r="AT179" s="276">
        <v>0</v>
      </c>
      <c r="AU179" s="279">
        <v>0</v>
      </c>
      <c r="AV179" s="276">
        <v>0</v>
      </c>
      <c r="AW179" s="276">
        <v>0</v>
      </c>
      <c r="AX179" s="279">
        <v>0</v>
      </c>
      <c r="AY179" s="276">
        <v>0</v>
      </c>
      <c r="AZ179" s="276">
        <v>0</v>
      </c>
      <c r="BA179" s="278" t="s">
        <v>551</v>
      </c>
      <c r="BB179" s="276">
        <v>0</v>
      </c>
      <c r="BC179" s="279">
        <v>0</v>
      </c>
      <c r="BD179" s="276">
        <v>0</v>
      </c>
      <c r="BE179" s="276">
        <v>0</v>
      </c>
      <c r="BF179" s="279">
        <v>0</v>
      </c>
      <c r="BG179" s="276">
        <v>0</v>
      </c>
      <c r="BH179" s="276">
        <v>0</v>
      </c>
      <c r="BI179" s="278" t="s">
        <v>550</v>
      </c>
      <c r="BJ179" s="276">
        <v>0</v>
      </c>
      <c r="BK179" s="276">
        <v>0</v>
      </c>
      <c r="BL179" s="276">
        <v>0</v>
      </c>
      <c r="BM179" s="276">
        <v>0</v>
      </c>
      <c r="BN179" s="276">
        <v>0</v>
      </c>
      <c r="BO179" s="276">
        <v>0</v>
      </c>
      <c r="BP179" s="276">
        <v>0</v>
      </c>
    </row>
    <row r="180" spans="1:68" x14ac:dyDescent="0.35">
      <c r="A180" s="277" t="s">
        <v>563</v>
      </c>
      <c r="B180" s="277" t="s">
        <v>562</v>
      </c>
      <c r="C180" s="283" t="s">
        <v>276</v>
      </c>
      <c r="D180" s="277" t="s">
        <v>560</v>
      </c>
      <c r="F180" s="277" t="s">
        <v>822</v>
      </c>
      <c r="K180" s="277" t="s">
        <v>819</v>
      </c>
      <c r="L180" s="277" t="s">
        <v>557</v>
      </c>
      <c r="N180" s="277" t="s">
        <v>820</v>
      </c>
      <c r="O180" s="277" t="s">
        <v>819</v>
      </c>
      <c r="P180" s="277" t="s">
        <v>557</v>
      </c>
      <c r="Q180" s="277" t="s">
        <v>556</v>
      </c>
      <c r="R180" s="277" t="s">
        <v>819</v>
      </c>
      <c r="S180" s="276">
        <v>0</v>
      </c>
      <c r="T180" s="276">
        <v>0</v>
      </c>
      <c r="U180" s="276">
        <v>0</v>
      </c>
      <c r="V180" s="276">
        <v>0</v>
      </c>
      <c r="W180" s="276">
        <v>0</v>
      </c>
      <c r="X180" s="276">
        <v>0</v>
      </c>
      <c r="Y180" s="276">
        <v>0</v>
      </c>
      <c r="Z180" s="276">
        <v>0</v>
      </c>
      <c r="AA180" s="276">
        <v>0</v>
      </c>
      <c r="AB180" s="276">
        <v>0</v>
      </c>
      <c r="AC180" s="276"/>
      <c r="AD180" s="276">
        <v>0</v>
      </c>
      <c r="AE180" s="276"/>
      <c r="AF180" s="276">
        <v>0</v>
      </c>
      <c r="AG180" s="276">
        <v>0</v>
      </c>
      <c r="AH180" s="283" t="s">
        <v>86</v>
      </c>
      <c r="AI180" s="282" t="s">
        <v>489</v>
      </c>
      <c r="AJ180" s="281" t="s">
        <v>553</v>
      </c>
      <c r="AK180" s="280" t="s">
        <v>552</v>
      </c>
      <c r="AL180" s="276">
        <v>3.54</v>
      </c>
      <c r="AM180" s="279">
        <v>0</v>
      </c>
      <c r="AN180" s="276">
        <v>0</v>
      </c>
      <c r="AO180" s="276">
        <v>3.54</v>
      </c>
      <c r="AP180" s="279">
        <v>0</v>
      </c>
      <c r="AQ180" s="276">
        <v>0</v>
      </c>
      <c r="AR180" s="276">
        <v>0</v>
      </c>
      <c r="AS180" s="271">
        <v>2</v>
      </c>
      <c r="AT180" s="276">
        <v>0</v>
      </c>
      <c r="AU180" s="279">
        <v>0</v>
      </c>
      <c r="AV180" s="276">
        <v>0</v>
      </c>
      <c r="AW180" s="276">
        <v>0</v>
      </c>
      <c r="AX180" s="279">
        <v>0</v>
      </c>
      <c r="AY180" s="276">
        <v>0</v>
      </c>
      <c r="AZ180" s="276">
        <v>0</v>
      </c>
      <c r="BA180" s="278" t="s">
        <v>551</v>
      </c>
      <c r="BB180" s="276">
        <v>0</v>
      </c>
      <c r="BC180" s="279">
        <v>0</v>
      </c>
      <c r="BD180" s="276">
        <v>0</v>
      </c>
      <c r="BE180" s="276">
        <v>0</v>
      </c>
      <c r="BF180" s="279">
        <v>0</v>
      </c>
      <c r="BG180" s="276">
        <v>0</v>
      </c>
      <c r="BH180" s="276">
        <v>0</v>
      </c>
      <c r="BI180" s="278" t="s">
        <v>550</v>
      </c>
      <c r="BJ180" s="276">
        <v>0</v>
      </c>
      <c r="BK180" s="276">
        <v>0</v>
      </c>
      <c r="BL180" s="276">
        <v>0</v>
      </c>
      <c r="BM180" s="276">
        <v>0</v>
      </c>
      <c r="BN180" s="276">
        <v>0</v>
      </c>
      <c r="BO180" s="276">
        <v>0</v>
      </c>
      <c r="BP180" s="276">
        <v>0</v>
      </c>
    </row>
    <row r="181" spans="1:68" x14ac:dyDescent="0.35">
      <c r="A181" s="277" t="s">
        <v>563</v>
      </c>
      <c r="B181" s="277" t="s">
        <v>562</v>
      </c>
      <c r="C181" s="283" t="s">
        <v>277</v>
      </c>
      <c r="D181" s="277" t="s">
        <v>560</v>
      </c>
      <c r="F181" s="277" t="s">
        <v>821</v>
      </c>
      <c r="K181" s="277" t="s">
        <v>819</v>
      </c>
      <c r="L181" s="277" t="s">
        <v>557</v>
      </c>
      <c r="N181" s="277" t="s">
        <v>820</v>
      </c>
      <c r="O181" s="277" t="s">
        <v>819</v>
      </c>
      <c r="P181" s="277" t="s">
        <v>557</v>
      </c>
      <c r="Q181" s="277" t="s">
        <v>556</v>
      </c>
      <c r="R181" s="277" t="s">
        <v>819</v>
      </c>
      <c r="S181" s="276">
        <v>0</v>
      </c>
      <c r="T181" s="276">
        <v>0</v>
      </c>
      <c r="U181" s="276">
        <v>0</v>
      </c>
      <c r="V181" s="276">
        <v>0</v>
      </c>
      <c r="W181" s="276">
        <v>0</v>
      </c>
      <c r="X181" s="276">
        <v>0</v>
      </c>
      <c r="Y181" s="276">
        <v>0</v>
      </c>
      <c r="Z181" s="276">
        <v>0</v>
      </c>
      <c r="AA181" s="276">
        <v>0</v>
      </c>
      <c r="AB181" s="276">
        <v>0</v>
      </c>
      <c r="AC181" s="276"/>
      <c r="AD181" s="276">
        <v>0</v>
      </c>
      <c r="AE181" s="276"/>
      <c r="AF181" s="276">
        <v>0</v>
      </c>
      <c r="AG181" s="276">
        <v>0</v>
      </c>
      <c r="AH181" s="283" t="s">
        <v>86</v>
      </c>
      <c r="AI181" s="282" t="s">
        <v>487</v>
      </c>
      <c r="AJ181" s="281" t="s">
        <v>553</v>
      </c>
      <c r="AK181" s="280" t="s">
        <v>552</v>
      </c>
      <c r="AL181" s="276">
        <v>1.8</v>
      </c>
      <c r="AM181" s="279">
        <v>0</v>
      </c>
      <c r="AN181" s="276">
        <v>0</v>
      </c>
      <c r="AO181" s="276">
        <v>1.8</v>
      </c>
      <c r="AP181" s="279">
        <v>0</v>
      </c>
      <c r="AQ181" s="276">
        <v>0</v>
      </c>
      <c r="AR181" s="276">
        <v>0</v>
      </c>
      <c r="AS181" s="271">
        <v>2</v>
      </c>
      <c r="AT181" s="276">
        <v>0</v>
      </c>
      <c r="AU181" s="279">
        <v>0</v>
      </c>
      <c r="AV181" s="276">
        <v>0</v>
      </c>
      <c r="AW181" s="276">
        <v>0</v>
      </c>
      <c r="AX181" s="279">
        <v>0</v>
      </c>
      <c r="AY181" s="276">
        <v>0</v>
      </c>
      <c r="AZ181" s="276">
        <v>0</v>
      </c>
      <c r="BA181" s="278" t="s">
        <v>551</v>
      </c>
      <c r="BB181" s="276">
        <v>0</v>
      </c>
      <c r="BC181" s="279">
        <v>0</v>
      </c>
      <c r="BD181" s="276">
        <v>0</v>
      </c>
      <c r="BE181" s="276">
        <v>0</v>
      </c>
      <c r="BF181" s="279">
        <v>0</v>
      </c>
      <c r="BG181" s="276">
        <v>0</v>
      </c>
      <c r="BH181" s="276">
        <v>0</v>
      </c>
      <c r="BI181" s="278" t="s">
        <v>550</v>
      </c>
      <c r="BJ181" s="276">
        <v>0</v>
      </c>
      <c r="BK181" s="276">
        <v>0</v>
      </c>
      <c r="BL181" s="276">
        <v>0</v>
      </c>
      <c r="BM181" s="276">
        <v>0</v>
      </c>
      <c r="BN181" s="276">
        <v>0</v>
      </c>
      <c r="BO181" s="276">
        <v>0</v>
      </c>
      <c r="BP181" s="276">
        <v>0</v>
      </c>
    </row>
    <row r="182" spans="1:68" x14ac:dyDescent="0.35">
      <c r="A182" s="277" t="s">
        <v>563</v>
      </c>
      <c r="B182" s="277" t="s">
        <v>562</v>
      </c>
      <c r="C182" s="283" t="s">
        <v>489</v>
      </c>
      <c r="D182" s="277" t="s">
        <v>560</v>
      </c>
      <c r="F182" s="277" t="s">
        <v>488</v>
      </c>
      <c r="K182" s="277" t="s">
        <v>819</v>
      </c>
      <c r="L182" s="277" t="s">
        <v>557</v>
      </c>
      <c r="N182" s="277" t="s">
        <v>820</v>
      </c>
      <c r="O182" s="277" t="s">
        <v>819</v>
      </c>
      <c r="P182" s="277" t="s">
        <v>557</v>
      </c>
      <c r="Q182" s="277" t="s">
        <v>556</v>
      </c>
      <c r="R182" s="277" t="s">
        <v>819</v>
      </c>
      <c r="S182" s="276">
        <v>0</v>
      </c>
      <c r="T182" s="276">
        <v>0</v>
      </c>
      <c r="U182" s="276">
        <v>0</v>
      </c>
      <c r="V182" s="276">
        <v>0</v>
      </c>
      <c r="W182" s="276">
        <v>0</v>
      </c>
      <c r="X182" s="276">
        <v>0</v>
      </c>
      <c r="Y182" s="276">
        <v>0</v>
      </c>
      <c r="Z182" s="276">
        <v>0</v>
      </c>
      <c r="AA182" s="276">
        <v>0</v>
      </c>
      <c r="AB182" s="276">
        <v>0</v>
      </c>
      <c r="AC182" s="276"/>
      <c r="AD182" s="276">
        <v>0</v>
      </c>
      <c r="AE182" s="276"/>
      <c r="AF182" s="276">
        <v>0</v>
      </c>
      <c r="AG182" s="276">
        <v>0</v>
      </c>
      <c r="AH182" s="283" t="s">
        <v>483</v>
      </c>
      <c r="AJ182" s="281" t="s">
        <v>553</v>
      </c>
      <c r="AK182" s="280" t="s">
        <v>552</v>
      </c>
      <c r="AL182" s="276">
        <v>1.88</v>
      </c>
      <c r="AM182" s="279">
        <v>0</v>
      </c>
      <c r="AN182" s="276">
        <v>0</v>
      </c>
      <c r="AO182" s="276">
        <v>1.88</v>
      </c>
      <c r="AP182" s="279">
        <v>0</v>
      </c>
      <c r="AQ182" s="276">
        <v>0</v>
      </c>
      <c r="AR182" s="276">
        <v>0</v>
      </c>
      <c r="AS182" s="271">
        <v>2</v>
      </c>
      <c r="AT182" s="276">
        <v>0</v>
      </c>
      <c r="AU182" s="279">
        <v>0</v>
      </c>
      <c r="AV182" s="276">
        <v>0</v>
      </c>
      <c r="AW182" s="276">
        <v>0</v>
      </c>
      <c r="AX182" s="279">
        <v>0</v>
      </c>
      <c r="AY182" s="276">
        <v>0</v>
      </c>
      <c r="AZ182" s="276">
        <v>0</v>
      </c>
      <c r="BA182" s="278" t="s">
        <v>551</v>
      </c>
      <c r="BB182" s="276">
        <v>0</v>
      </c>
      <c r="BC182" s="279">
        <v>0</v>
      </c>
      <c r="BD182" s="276">
        <v>0</v>
      </c>
      <c r="BE182" s="276">
        <v>0</v>
      </c>
      <c r="BF182" s="279">
        <v>0</v>
      </c>
      <c r="BG182" s="276">
        <v>0</v>
      </c>
      <c r="BH182" s="276">
        <v>0</v>
      </c>
      <c r="BI182" s="278" t="s">
        <v>550</v>
      </c>
      <c r="BJ182" s="276">
        <v>0</v>
      </c>
      <c r="BK182" s="276">
        <v>0</v>
      </c>
      <c r="BL182" s="276">
        <v>0</v>
      </c>
      <c r="BM182" s="276">
        <v>0</v>
      </c>
      <c r="BN182" s="276">
        <v>0</v>
      </c>
      <c r="BO182" s="276">
        <v>0</v>
      </c>
      <c r="BP182" s="276">
        <v>0</v>
      </c>
    </row>
    <row r="183" spans="1:68" x14ac:dyDescent="0.35">
      <c r="A183" s="277" t="s">
        <v>563</v>
      </c>
      <c r="B183" s="277" t="s">
        <v>562</v>
      </c>
      <c r="C183" s="283" t="s">
        <v>487</v>
      </c>
      <c r="D183" s="277" t="s">
        <v>560</v>
      </c>
      <c r="F183" s="277" t="s">
        <v>486</v>
      </c>
      <c r="K183" s="277" t="s">
        <v>819</v>
      </c>
      <c r="L183" s="277" t="s">
        <v>557</v>
      </c>
      <c r="N183" s="277" t="s">
        <v>820</v>
      </c>
      <c r="O183" s="277" t="s">
        <v>819</v>
      </c>
      <c r="P183" s="277" t="s">
        <v>557</v>
      </c>
      <c r="Q183" s="277" t="s">
        <v>556</v>
      </c>
      <c r="R183" s="277" t="s">
        <v>819</v>
      </c>
      <c r="S183" s="276">
        <v>0</v>
      </c>
      <c r="T183" s="276">
        <v>0</v>
      </c>
      <c r="U183" s="276">
        <v>0</v>
      </c>
      <c r="V183" s="276">
        <v>0</v>
      </c>
      <c r="W183" s="276">
        <v>0</v>
      </c>
      <c r="X183" s="276">
        <v>0</v>
      </c>
      <c r="Y183" s="276">
        <v>0</v>
      </c>
      <c r="Z183" s="276">
        <v>0</v>
      </c>
      <c r="AA183" s="276">
        <v>0</v>
      </c>
      <c r="AB183" s="276">
        <v>0</v>
      </c>
      <c r="AC183" s="276"/>
      <c r="AD183" s="276">
        <v>0</v>
      </c>
      <c r="AE183" s="276"/>
      <c r="AF183" s="276">
        <v>0</v>
      </c>
      <c r="AG183" s="276">
        <v>0</v>
      </c>
      <c r="AH183" s="283" t="s">
        <v>483</v>
      </c>
      <c r="AJ183" s="281" t="s">
        <v>553</v>
      </c>
      <c r="AK183" s="280" t="s">
        <v>552</v>
      </c>
      <c r="AL183" s="276">
        <v>1.1299999999999999</v>
      </c>
      <c r="AM183" s="279">
        <v>0</v>
      </c>
      <c r="AN183" s="276">
        <v>0</v>
      </c>
      <c r="AO183" s="276">
        <v>1.1299999999999999</v>
      </c>
      <c r="AP183" s="279">
        <v>0</v>
      </c>
      <c r="AQ183" s="276">
        <v>0</v>
      </c>
      <c r="AR183" s="276">
        <v>0</v>
      </c>
      <c r="AS183" s="271">
        <v>2</v>
      </c>
      <c r="AT183" s="276">
        <v>0</v>
      </c>
      <c r="AU183" s="279">
        <v>0</v>
      </c>
      <c r="AV183" s="276">
        <v>0</v>
      </c>
      <c r="AW183" s="276">
        <v>0</v>
      </c>
      <c r="AX183" s="279">
        <v>0</v>
      </c>
      <c r="AY183" s="276">
        <v>0</v>
      </c>
      <c r="AZ183" s="276">
        <v>0</v>
      </c>
      <c r="BA183" s="278" t="s">
        <v>551</v>
      </c>
      <c r="BB183" s="276">
        <v>0</v>
      </c>
      <c r="BC183" s="279">
        <v>0</v>
      </c>
      <c r="BD183" s="276">
        <v>0</v>
      </c>
      <c r="BE183" s="276">
        <v>0</v>
      </c>
      <c r="BF183" s="279">
        <v>0</v>
      </c>
      <c r="BG183" s="276">
        <v>0</v>
      </c>
      <c r="BH183" s="276">
        <v>0</v>
      </c>
      <c r="BI183" s="278" t="s">
        <v>550</v>
      </c>
      <c r="BJ183" s="276">
        <v>0</v>
      </c>
      <c r="BK183" s="276">
        <v>0</v>
      </c>
      <c r="BL183" s="276">
        <v>0</v>
      </c>
      <c r="BM183" s="276">
        <v>0</v>
      </c>
      <c r="BN183" s="276">
        <v>0</v>
      </c>
      <c r="BO183" s="276">
        <v>0</v>
      </c>
      <c r="BP183" s="276">
        <v>0</v>
      </c>
    </row>
    <row r="184" spans="1:68" x14ac:dyDescent="0.35">
      <c r="A184" s="277" t="s">
        <v>563</v>
      </c>
      <c r="B184" s="277" t="s">
        <v>562</v>
      </c>
      <c r="C184" s="283" t="s">
        <v>485</v>
      </c>
      <c r="D184" s="277" t="s">
        <v>560</v>
      </c>
      <c r="F184" s="277" t="s">
        <v>484</v>
      </c>
      <c r="K184" s="277" t="s">
        <v>819</v>
      </c>
      <c r="L184" s="277" t="s">
        <v>557</v>
      </c>
      <c r="N184" s="277" t="s">
        <v>820</v>
      </c>
      <c r="O184" s="277" t="s">
        <v>819</v>
      </c>
      <c r="P184" s="277" t="s">
        <v>557</v>
      </c>
      <c r="Q184" s="277" t="s">
        <v>556</v>
      </c>
      <c r="R184" s="277" t="s">
        <v>819</v>
      </c>
      <c r="S184" s="276">
        <v>0</v>
      </c>
      <c r="T184" s="276">
        <v>0</v>
      </c>
      <c r="U184" s="276">
        <v>0</v>
      </c>
      <c r="V184" s="276">
        <v>0</v>
      </c>
      <c r="W184" s="276">
        <v>0</v>
      </c>
      <c r="X184" s="276">
        <v>0</v>
      </c>
      <c r="Y184" s="276">
        <v>0</v>
      </c>
      <c r="Z184" s="276">
        <v>0</v>
      </c>
      <c r="AA184" s="276">
        <v>0</v>
      </c>
      <c r="AB184" s="276">
        <v>0</v>
      </c>
      <c r="AC184" s="276"/>
      <c r="AD184" s="276">
        <v>0</v>
      </c>
      <c r="AE184" s="276"/>
      <c r="AF184" s="276">
        <v>0</v>
      </c>
      <c r="AG184" s="276">
        <v>0</v>
      </c>
      <c r="AH184" s="283" t="s">
        <v>483</v>
      </c>
      <c r="AJ184" s="281" t="s">
        <v>553</v>
      </c>
      <c r="AK184" s="280" t="s">
        <v>552</v>
      </c>
      <c r="AL184" s="276">
        <v>1.0900000000000001</v>
      </c>
      <c r="AM184" s="279">
        <v>0</v>
      </c>
      <c r="AN184" s="276">
        <v>0</v>
      </c>
      <c r="AO184" s="276">
        <v>1.0900000000000001</v>
      </c>
      <c r="AP184" s="279">
        <v>0</v>
      </c>
      <c r="AQ184" s="276">
        <v>0</v>
      </c>
      <c r="AR184" s="276">
        <v>0</v>
      </c>
      <c r="AS184" s="271">
        <v>2</v>
      </c>
      <c r="AT184" s="276">
        <v>0</v>
      </c>
      <c r="AU184" s="279">
        <v>0</v>
      </c>
      <c r="AV184" s="276">
        <v>0</v>
      </c>
      <c r="AW184" s="276">
        <v>0</v>
      </c>
      <c r="AX184" s="279">
        <v>0</v>
      </c>
      <c r="AY184" s="276">
        <v>0</v>
      </c>
      <c r="AZ184" s="276">
        <v>0</v>
      </c>
      <c r="BA184" s="278" t="s">
        <v>551</v>
      </c>
      <c r="BB184" s="276">
        <v>0</v>
      </c>
      <c r="BC184" s="279">
        <v>0</v>
      </c>
      <c r="BD184" s="276">
        <v>0</v>
      </c>
      <c r="BE184" s="276">
        <v>0</v>
      </c>
      <c r="BF184" s="279">
        <v>0</v>
      </c>
      <c r="BG184" s="276">
        <v>0</v>
      </c>
      <c r="BH184" s="276">
        <v>0</v>
      </c>
      <c r="BI184" s="278" t="s">
        <v>550</v>
      </c>
      <c r="BJ184" s="276">
        <v>0</v>
      </c>
      <c r="BK184" s="276">
        <v>0</v>
      </c>
      <c r="BL184" s="276">
        <v>0</v>
      </c>
      <c r="BM184" s="276">
        <v>0</v>
      </c>
      <c r="BN184" s="276">
        <v>0</v>
      </c>
      <c r="BO184" s="276">
        <v>0</v>
      </c>
      <c r="BP184" s="276">
        <v>0</v>
      </c>
    </row>
    <row r="185" spans="1:68" x14ac:dyDescent="0.35">
      <c r="A185" s="277" t="s">
        <v>563</v>
      </c>
      <c r="B185" s="277" t="s">
        <v>562</v>
      </c>
      <c r="C185" s="283" t="s">
        <v>818</v>
      </c>
      <c r="D185" s="277" t="s">
        <v>560</v>
      </c>
      <c r="F185" s="277" t="s">
        <v>817</v>
      </c>
      <c r="K185" s="277" t="s">
        <v>689</v>
      </c>
      <c r="L185" s="277" t="s">
        <v>557</v>
      </c>
      <c r="N185" s="277" t="s">
        <v>690</v>
      </c>
      <c r="O185" s="277" t="s">
        <v>689</v>
      </c>
      <c r="P185" s="277" t="s">
        <v>557</v>
      </c>
      <c r="Q185" s="277" t="s">
        <v>556</v>
      </c>
      <c r="R185" s="277" t="s">
        <v>689</v>
      </c>
      <c r="S185" s="276">
        <v>0</v>
      </c>
      <c r="T185" s="276">
        <v>0</v>
      </c>
      <c r="U185" s="276">
        <v>0</v>
      </c>
      <c r="V185" s="276">
        <v>0</v>
      </c>
      <c r="W185" s="276">
        <v>0</v>
      </c>
      <c r="X185" s="276">
        <v>0</v>
      </c>
      <c r="Y185" s="276">
        <v>0</v>
      </c>
      <c r="Z185" s="276">
        <v>0</v>
      </c>
      <c r="AA185" s="276">
        <v>0</v>
      </c>
      <c r="AB185" s="276">
        <v>0</v>
      </c>
      <c r="AC185" s="276"/>
      <c r="AD185" s="276">
        <v>0</v>
      </c>
      <c r="AE185" s="276"/>
      <c r="AF185" s="276">
        <v>0</v>
      </c>
      <c r="AG185" s="276">
        <v>0</v>
      </c>
      <c r="AH185" s="283" t="s">
        <v>86</v>
      </c>
      <c r="AI185" s="282" t="s">
        <v>808</v>
      </c>
      <c r="AJ185" s="281" t="s">
        <v>553</v>
      </c>
      <c r="AK185" s="280" t="s">
        <v>552</v>
      </c>
      <c r="AL185" s="276">
        <v>1.3</v>
      </c>
      <c r="AM185" s="279">
        <v>0</v>
      </c>
      <c r="AN185" s="276">
        <v>0</v>
      </c>
      <c r="AO185" s="276">
        <v>1.3</v>
      </c>
      <c r="AP185" s="279">
        <v>0</v>
      </c>
      <c r="AQ185" s="276">
        <v>0</v>
      </c>
      <c r="AR185" s="276">
        <v>0</v>
      </c>
      <c r="AS185" s="271">
        <v>2</v>
      </c>
      <c r="AT185" s="276">
        <v>0</v>
      </c>
      <c r="AU185" s="279">
        <v>0</v>
      </c>
      <c r="AV185" s="276">
        <v>0</v>
      </c>
      <c r="AW185" s="276">
        <v>0</v>
      </c>
      <c r="AX185" s="279">
        <v>0</v>
      </c>
      <c r="AY185" s="276">
        <v>0</v>
      </c>
      <c r="AZ185" s="276">
        <v>0</v>
      </c>
      <c r="BA185" s="278" t="s">
        <v>551</v>
      </c>
      <c r="BB185" s="276">
        <v>0</v>
      </c>
      <c r="BC185" s="279">
        <v>0</v>
      </c>
      <c r="BD185" s="276">
        <v>0</v>
      </c>
      <c r="BE185" s="276">
        <v>0</v>
      </c>
      <c r="BF185" s="279">
        <v>0</v>
      </c>
      <c r="BG185" s="276">
        <v>0</v>
      </c>
      <c r="BH185" s="276">
        <v>0</v>
      </c>
      <c r="BI185" s="278" t="s">
        <v>550</v>
      </c>
      <c r="BJ185" s="276">
        <v>0</v>
      </c>
      <c r="BK185" s="276">
        <v>0</v>
      </c>
      <c r="BL185" s="276">
        <v>0</v>
      </c>
      <c r="BM185" s="276">
        <v>0</v>
      </c>
      <c r="BN185" s="276">
        <v>0</v>
      </c>
      <c r="BO185" s="276">
        <v>0</v>
      </c>
      <c r="BP185" s="276">
        <v>0</v>
      </c>
    </row>
    <row r="186" spans="1:68" x14ac:dyDescent="0.35">
      <c r="A186" s="277" t="s">
        <v>563</v>
      </c>
      <c r="B186" s="277" t="s">
        <v>562</v>
      </c>
      <c r="C186" s="283" t="s">
        <v>816</v>
      </c>
      <c r="D186" s="277" t="s">
        <v>560</v>
      </c>
      <c r="F186" s="277" t="s">
        <v>815</v>
      </c>
      <c r="K186" s="277" t="s">
        <v>689</v>
      </c>
      <c r="L186" s="277" t="s">
        <v>557</v>
      </c>
      <c r="N186" s="277" t="s">
        <v>690</v>
      </c>
      <c r="O186" s="277" t="s">
        <v>689</v>
      </c>
      <c r="P186" s="277" t="s">
        <v>557</v>
      </c>
      <c r="Q186" s="277" t="s">
        <v>556</v>
      </c>
      <c r="R186" s="277" t="s">
        <v>689</v>
      </c>
      <c r="S186" s="276">
        <v>0</v>
      </c>
      <c r="T186" s="276">
        <v>0</v>
      </c>
      <c r="U186" s="276">
        <v>0</v>
      </c>
      <c r="V186" s="276">
        <v>0</v>
      </c>
      <c r="W186" s="276">
        <v>0</v>
      </c>
      <c r="X186" s="276">
        <v>0</v>
      </c>
      <c r="Y186" s="276">
        <v>0</v>
      </c>
      <c r="Z186" s="276">
        <v>0</v>
      </c>
      <c r="AA186" s="276">
        <v>0</v>
      </c>
      <c r="AB186" s="276">
        <v>0</v>
      </c>
      <c r="AC186" s="276"/>
      <c r="AD186" s="276">
        <v>0</v>
      </c>
      <c r="AE186" s="276"/>
      <c r="AF186" s="276">
        <v>0</v>
      </c>
      <c r="AG186" s="276">
        <v>0</v>
      </c>
      <c r="AH186" s="283" t="s">
        <v>483</v>
      </c>
      <c r="AJ186" s="281" t="s">
        <v>553</v>
      </c>
      <c r="AK186" s="280" t="s">
        <v>552</v>
      </c>
      <c r="AL186" s="276">
        <v>0</v>
      </c>
      <c r="AM186" s="279">
        <v>0</v>
      </c>
      <c r="AN186" s="276">
        <v>45</v>
      </c>
      <c r="AO186" s="276">
        <v>0</v>
      </c>
      <c r="AP186" s="279">
        <v>0</v>
      </c>
      <c r="AQ186" s="276">
        <v>0</v>
      </c>
      <c r="AR186" s="276">
        <v>0</v>
      </c>
      <c r="AS186" s="271">
        <v>2</v>
      </c>
      <c r="AT186" s="276">
        <v>0</v>
      </c>
      <c r="AU186" s="279">
        <v>0</v>
      </c>
      <c r="AV186" s="276">
        <v>0</v>
      </c>
      <c r="AW186" s="276">
        <v>0</v>
      </c>
      <c r="AX186" s="279">
        <v>0</v>
      </c>
      <c r="AY186" s="276">
        <v>0</v>
      </c>
      <c r="AZ186" s="276">
        <v>0</v>
      </c>
      <c r="BA186" s="278" t="s">
        <v>551</v>
      </c>
      <c r="BB186" s="276">
        <v>0</v>
      </c>
      <c r="BC186" s="279">
        <v>0</v>
      </c>
      <c r="BD186" s="276">
        <v>0</v>
      </c>
      <c r="BE186" s="276">
        <v>0</v>
      </c>
      <c r="BF186" s="279">
        <v>0</v>
      </c>
      <c r="BG186" s="276">
        <v>0</v>
      </c>
      <c r="BH186" s="276">
        <v>0</v>
      </c>
      <c r="BI186" s="278" t="s">
        <v>550</v>
      </c>
      <c r="BJ186" s="276">
        <v>0</v>
      </c>
      <c r="BK186" s="276">
        <v>0</v>
      </c>
      <c r="BL186" s="276">
        <v>0</v>
      </c>
      <c r="BM186" s="276">
        <v>0</v>
      </c>
      <c r="BN186" s="276">
        <v>0</v>
      </c>
      <c r="BO186" s="276">
        <v>0</v>
      </c>
      <c r="BP186" s="276">
        <v>0</v>
      </c>
    </row>
    <row r="187" spans="1:68" x14ac:dyDescent="0.35">
      <c r="A187" s="277" t="s">
        <v>563</v>
      </c>
      <c r="B187" s="277" t="s">
        <v>562</v>
      </c>
      <c r="C187" s="283" t="s">
        <v>814</v>
      </c>
      <c r="D187" s="277" t="s">
        <v>560</v>
      </c>
      <c r="F187" s="277" t="s">
        <v>813</v>
      </c>
      <c r="K187" s="277" t="s">
        <v>689</v>
      </c>
      <c r="L187" s="277" t="s">
        <v>557</v>
      </c>
      <c r="N187" s="277" t="s">
        <v>690</v>
      </c>
      <c r="O187" s="277" t="s">
        <v>689</v>
      </c>
      <c r="P187" s="277" t="s">
        <v>557</v>
      </c>
      <c r="Q187" s="277" t="s">
        <v>556</v>
      </c>
      <c r="R187" s="277" t="s">
        <v>689</v>
      </c>
      <c r="S187" s="276">
        <v>1134</v>
      </c>
      <c r="T187" s="276">
        <v>0</v>
      </c>
      <c r="U187" s="276">
        <v>0</v>
      </c>
      <c r="V187" s="276">
        <v>0</v>
      </c>
      <c r="W187" s="276">
        <v>0</v>
      </c>
      <c r="X187" s="276">
        <v>0</v>
      </c>
      <c r="Y187" s="276">
        <v>0</v>
      </c>
      <c r="Z187" s="276">
        <v>0</v>
      </c>
      <c r="AA187" s="276">
        <v>0</v>
      </c>
      <c r="AB187" s="276">
        <v>0</v>
      </c>
      <c r="AC187" s="276"/>
      <c r="AD187" s="276">
        <v>0</v>
      </c>
      <c r="AE187" s="276"/>
      <c r="AF187" s="276">
        <v>0</v>
      </c>
      <c r="AG187" s="276">
        <v>0</v>
      </c>
      <c r="AH187" s="283" t="s">
        <v>483</v>
      </c>
      <c r="AJ187" s="281" t="s">
        <v>553</v>
      </c>
      <c r="AK187" s="280" t="s">
        <v>552</v>
      </c>
      <c r="AL187" s="276">
        <v>0</v>
      </c>
      <c r="AM187" s="279">
        <v>0</v>
      </c>
      <c r="AN187" s="276">
        <v>16</v>
      </c>
      <c r="AO187" s="276">
        <v>0</v>
      </c>
      <c r="AP187" s="279">
        <v>0</v>
      </c>
      <c r="AQ187" s="276">
        <v>0</v>
      </c>
      <c r="AR187" s="276">
        <v>0</v>
      </c>
      <c r="AS187" s="271">
        <v>2</v>
      </c>
      <c r="AT187" s="276">
        <v>0</v>
      </c>
      <c r="AU187" s="279">
        <v>0</v>
      </c>
      <c r="AV187" s="276">
        <v>0</v>
      </c>
      <c r="AW187" s="276">
        <v>0</v>
      </c>
      <c r="AX187" s="279">
        <v>0</v>
      </c>
      <c r="AY187" s="276">
        <v>0</v>
      </c>
      <c r="AZ187" s="276">
        <v>0</v>
      </c>
      <c r="BA187" s="278" t="s">
        <v>551</v>
      </c>
      <c r="BB187" s="276">
        <v>0</v>
      </c>
      <c r="BC187" s="279">
        <v>0</v>
      </c>
      <c r="BD187" s="276">
        <v>0</v>
      </c>
      <c r="BE187" s="276">
        <v>0</v>
      </c>
      <c r="BF187" s="279">
        <v>0</v>
      </c>
      <c r="BG187" s="276">
        <v>0</v>
      </c>
      <c r="BH187" s="276">
        <v>0</v>
      </c>
      <c r="BI187" s="278" t="s">
        <v>550</v>
      </c>
      <c r="BJ187" s="276">
        <v>0</v>
      </c>
      <c r="BK187" s="276">
        <v>0</v>
      </c>
      <c r="BL187" s="276">
        <v>0</v>
      </c>
      <c r="BM187" s="276">
        <v>0</v>
      </c>
      <c r="BN187" s="276">
        <v>0</v>
      </c>
      <c r="BO187" s="276">
        <v>0</v>
      </c>
      <c r="BP187" s="276">
        <v>0</v>
      </c>
    </row>
    <row r="188" spans="1:68" x14ac:dyDescent="0.35">
      <c r="A188" s="277" t="s">
        <v>563</v>
      </c>
      <c r="B188" s="277" t="s">
        <v>562</v>
      </c>
      <c r="C188" s="283" t="s">
        <v>812</v>
      </c>
      <c r="D188" s="277" t="s">
        <v>560</v>
      </c>
      <c r="F188" s="277" t="s">
        <v>811</v>
      </c>
      <c r="K188" s="277" t="s">
        <v>689</v>
      </c>
      <c r="L188" s="277" t="s">
        <v>557</v>
      </c>
      <c r="N188" s="277" t="s">
        <v>690</v>
      </c>
      <c r="O188" s="277" t="s">
        <v>689</v>
      </c>
      <c r="P188" s="277" t="s">
        <v>557</v>
      </c>
      <c r="Q188" s="277" t="s">
        <v>556</v>
      </c>
      <c r="R188" s="277" t="s">
        <v>689</v>
      </c>
      <c r="S188" s="276">
        <v>0</v>
      </c>
      <c r="T188" s="276">
        <v>0</v>
      </c>
      <c r="U188" s="276">
        <v>0</v>
      </c>
      <c r="V188" s="276">
        <v>0</v>
      </c>
      <c r="W188" s="276">
        <v>0</v>
      </c>
      <c r="X188" s="276">
        <v>0</v>
      </c>
      <c r="Y188" s="276">
        <v>0</v>
      </c>
      <c r="Z188" s="276">
        <v>0</v>
      </c>
      <c r="AA188" s="276">
        <v>0</v>
      </c>
      <c r="AB188" s="276">
        <v>0</v>
      </c>
      <c r="AC188" s="276"/>
      <c r="AD188" s="276">
        <v>0</v>
      </c>
      <c r="AE188" s="276"/>
      <c r="AF188" s="276">
        <v>0</v>
      </c>
      <c r="AG188" s="276">
        <v>0</v>
      </c>
      <c r="AH188" s="283" t="s">
        <v>86</v>
      </c>
      <c r="AI188" s="282" t="s">
        <v>806</v>
      </c>
      <c r="AJ188" s="281" t="s">
        <v>553</v>
      </c>
      <c r="AK188" s="280" t="s">
        <v>552</v>
      </c>
      <c r="AL188" s="276">
        <v>2.2000000000000002</v>
      </c>
      <c r="AM188" s="279">
        <v>0</v>
      </c>
      <c r="AN188" s="276">
        <v>0</v>
      </c>
      <c r="AO188" s="276">
        <v>2.2000000000000002</v>
      </c>
      <c r="AP188" s="279">
        <v>0</v>
      </c>
      <c r="AQ188" s="276">
        <v>0</v>
      </c>
      <c r="AR188" s="276">
        <v>0</v>
      </c>
      <c r="AS188" s="271">
        <v>2</v>
      </c>
      <c r="AT188" s="276">
        <v>0</v>
      </c>
      <c r="AU188" s="279">
        <v>0</v>
      </c>
      <c r="AV188" s="276">
        <v>0</v>
      </c>
      <c r="AW188" s="276">
        <v>0</v>
      </c>
      <c r="AX188" s="279">
        <v>0</v>
      </c>
      <c r="AY188" s="276">
        <v>0</v>
      </c>
      <c r="AZ188" s="276">
        <v>0</v>
      </c>
      <c r="BA188" s="278" t="s">
        <v>551</v>
      </c>
      <c r="BB188" s="276">
        <v>0</v>
      </c>
      <c r="BC188" s="279">
        <v>0</v>
      </c>
      <c r="BD188" s="276">
        <v>0</v>
      </c>
      <c r="BE188" s="276">
        <v>0</v>
      </c>
      <c r="BF188" s="279">
        <v>0</v>
      </c>
      <c r="BG188" s="276">
        <v>0</v>
      </c>
      <c r="BH188" s="276">
        <v>0</v>
      </c>
      <c r="BI188" s="278" t="s">
        <v>550</v>
      </c>
      <c r="BJ188" s="276">
        <v>0</v>
      </c>
      <c r="BK188" s="276">
        <v>0</v>
      </c>
      <c r="BL188" s="276">
        <v>0</v>
      </c>
      <c r="BM188" s="276">
        <v>0</v>
      </c>
      <c r="BN188" s="276">
        <v>0</v>
      </c>
      <c r="BO188" s="276">
        <v>0</v>
      </c>
      <c r="BP188" s="276">
        <v>0</v>
      </c>
    </row>
    <row r="189" spans="1:68" x14ac:dyDescent="0.35">
      <c r="A189" s="277" t="s">
        <v>563</v>
      </c>
      <c r="B189" s="277" t="s">
        <v>562</v>
      </c>
      <c r="C189" s="283" t="s">
        <v>810</v>
      </c>
      <c r="D189" s="277" t="s">
        <v>560</v>
      </c>
      <c r="F189" s="277" t="s">
        <v>809</v>
      </c>
      <c r="K189" s="277" t="s">
        <v>689</v>
      </c>
      <c r="L189" s="277" t="s">
        <v>557</v>
      </c>
      <c r="N189" s="277" t="s">
        <v>690</v>
      </c>
      <c r="O189" s="277" t="s">
        <v>689</v>
      </c>
      <c r="P189" s="277" t="s">
        <v>557</v>
      </c>
      <c r="Q189" s="277" t="s">
        <v>556</v>
      </c>
      <c r="R189" s="277" t="s">
        <v>689</v>
      </c>
      <c r="S189" s="276">
        <v>0</v>
      </c>
      <c r="T189" s="276">
        <v>0</v>
      </c>
      <c r="U189" s="276">
        <v>0</v>
      </c>
      <c r="V189" s="276">
        <v>0</v>
      </c>
      <c r="W189" s="276">
        <v>0</v>
      </c>
      <c r="X189" s="276">
        <v>0</v>
      </c>
      <c r="Y189" s="276">
        <v>0</v>
      </c>
      <c r="Z189" s="276">
        <v>0</v>
      </c>
      <c r="AA189" s="276">
        <v>0</v>
      </c>
      <c r="AB189" s="276">
        <v>0</v>
      </c>
      <c r="AC189" s="276"/>
      <c r="AD189" s="276">
        <v>0</v>
      </c>
      <c r="AE189" s="276"/>
      <c r="AF189" s="276">
        <v>0</v>
      </c>
      <c r="AG189" s="276">
        <v>0</v>
      </c>
      <c r="AH189" s="283" t="s">
        <v>86</v>
      </c>
      <c r="AI189" s="282" t="s">
        <v>804</v>
      </c>
      <c r="AJ189" s="281" t="s">
        <v>553</v>
      </c>
      <c r="AK189" s="280" t="s">
        <v>552</v>
      </c>
      <c r="AL189" s="276">
        <v>1.32</v>
      </c>
      <c r="AM189" s="279">
        <v>0</v>
      </c>
      <c r="AN189" s="276">
        <v>0</v>
      </c>
      <c r="AO189" s="276">
        <v>1.32</v>
      </c>
      <c r="AP189" s="279">
        <v>0</v>
      </c>
      <c r="AQ189" s="276">
        <v>0</v>
      </c>
      <c r="AR189" s="276">
        <v>0</v>
      </c>
      <c r="AS189" s="271">
        <v>2</v>
      </c>
      <c r="AT189" s="276">
        <v>0</v>
      </c>
      <c r="AU189" s="279">
        <v>0</v>
      </c>
      <c r="AV189" s="276">
        <v>0</v>
      </c>
      <c r="AW189" s="276">
        <v>0</v>
      </c>
      <c r="AX189" s="279">
        <v>0</v>
      </c>
      <c r="AY189" s="276">
        <v>0</v>
      </c>
      <c r="AZ189" s="276">
        <v>0</v>
      </c>
      <c r="BA189" s="278" t="s">
        <v>551</v>
      </c>
      <c r="BB189" s="276">
        <v>0</v>
      </c>
      <c r="BC189" s="279">
        <v>0</v>
      </c>
      <c r="BD189" s="276">
        <v>0</v>
      </c>
      <c r="BE189" s="276">
        <v>0</v>
      </c>
      <c r="BF189" s="279">
        <v>0</v>
      </c>
      <c r="BG189" s="276">
        <v>0</v>
      </c>
      <c r="BH189" s="276">
        <v>0</v>
      </c>
      <c r="BI189" s="278" t="s">
        <v>550</v>
      </c>
      <c r="BJ189" s="276">
        <v>0</v>
      </c>
      <c r="BK189" s="276">
        <v>0</v>
      </c>
      <c r="BL189" s="276">
        <v>0</v>
      </c>
      <c r="BM189" s="276">
        <v>0</v>
      </c>
      <c r="BN189" s="276">
        <v>0</v>
      </c>
      <c r="BO189" s="276">
        <v>0</v>
      </c>
      <c r="BP189" s="276">
        <v>0</v>
      </c>
    </row>
    <row r="190" spans="1:68" x14ac:dyDescent="0.35">
      <c r="A190" s="277" t="s">
        <v>563</v>
      </c>
      <c r="B190" s="277" t="s">
        <v>562</v>
      </c>
      <c r="C190" s="283" t="s">
        <v>808</v>
      </c>
      <c r="D190" s="277" t="s">
        <v>560</v>
      </c>
      <c r="F190" s="277" t="s">
        <v>807</v>
      </c>
      <c r="K190" s="277" t="s">
        <v>689</v>
      </c>
      <c r="L190" s="277" t="s">
        <v>557</v>
      </c>
      <c r="N190" s="277" t="s">
        <v>690</v>
      </c>
      <c r="O190" s="277" t="s">
        <v>689</v>
      </c>
      <c r="P190" s="277" t="s">
        <v>557</v>
      </c>
      <c r="Q190" s="277" t="s">
        <v>556</v>
      </c>
      <c r="R190" s="277" t="s">
        <v>689</v>
      </c>
      <c r="S190" s="276">
        <v>0</v>
      </c>
      <c r="T190" s="276">
        <v>0</v>
      </c>
      <c r="U190" s="276">
        <v>0</v>
      </c>
      <c r="V190" s="276">
        <v>0</v>
      </c>
      <c r="W190" s="276">
        <v>0</v>
      </c>
      <c r="X190" s="276">
        <v>0</v>
      </c>
      <c r="Y190" s="276">
        <v>0</v>
      </c>
      <c r="Z190" s="276">
        <v>0</v>
      </c>
      <c r="AA190" s="276">
        <v>0</v>
      </c>
      <c r="AB190" s="276">
        <v>0</v>
      </c>
      <c r="AC190" s="276"/>
      <c r="AD190" s="276">
        <v>0</v>
      </c>
      <c r="AE190" s="276"/>
      <c r="AF190" s="276">
        <v>0</v>
      </c>
      <c r="AG190" s="276">
        <v>0</v>
      </c>
      <c r="AH190" s="283" t="s">
        <v>483</v>
      </c>
      <c r="AJ190" s="281" t="s">
        <v>553</v>
      </c>
      <c r="AK190" s="280" t="s">
        <v>552</v>
      </c>
      <c r="AL190" s="276">
        <v>0.84</v>
      </c>
      <c r="AM190" s="279">
        <v>0</v>
      </c>
      <c r="AN190" s="276">
        <v>0</v>
      </c>
      <c r="AO190" s="276">
        <v>0.84</v>
      </c>
      <c r="AP190" s="279">
        <v>0</v>
      </c>
      <c r="AQ190" s="276">
        <v>0</v>
      </c>
      <c r="AR190" s="276">
        <v>0</v>
      </c>
      <c r="AS190" s="271">
        <v>2</v>
      </c>
      <c r="AT190" s="276">
        <v>0</v>
      </c>
      <c r="AU190" s="279">
        <v>0</v>
      </c>
      <c r="AV190" s="276">
        <v>0</v>
      </c>
      <c r="AW190" s="276">
        <v>0</v>
      </c>
      <c r="AX190" s="279">
        <v>0</v>
      </c>
      <c r="AY190" s="276">
        <v>0</v>
      </c>
      <c r="AZ190" s="276">
        <v>0</v>
      </c>
      <c r="BA190" s="278" t="s">
        <v>551</v>
      </c>
      <c r="BB190" s="276">
        <v>0</v>
      </c>
      <c r="BC190" s="279">
        <v>0</v>
      </c>
      <c r="BD190" s="276">
        <v>0</v>
      </c>
      <c r="BE190" s="276">
        <v>0</v>
      </c>
      <c r="BF190" s="279">
        <v>0</v>
      </c>
      <c r="BG190" s="276">
        <v>0</v>
      </c>
      <c r="BH190" s="276">
        <v>0</v>
      </c>
      <c r="BI190" s="278" t="s">
        <v>550</v>
      </c>
      <c r="BJ190" s="276">
        <v>0</v>
      </c>
      <c r="BK190" s="276">
        <v>0</v>
      </c>
      <c r="BL190" s="276">
        <v>0</v>
      </c>
      <c r="BM190" s="276">
        <v>0</v>
      </c>
      <c r="BN190" s="276">
        <v>0</v>
      </c>
      <c r="BO190" s="276">
        <v>0</v>
      </c>
      <c r="BP190" s="276">
        <v>0</v>
      </c>
    </row>
    <row r="191" spans="1:68" x14ac:dyDescent="0.35">
      <c r="A191" s="277" t="s">
        <v>563</v>
      </c>
      <c r="B191" s="277" t="s">
        <v>562</v>
      </c>
      <c r="C191" s="283" t="s">
        <v>806</v>
      </c>
      <c r="D191" s="277" t="s">
        <v>560</v>
      </c>
      <c r="F191" s="277" t="s">
        <v>805</v>
      </c>
      <c r="K191" s="277" t="s">
        <v>689</v>
      </c>
      <c r="L191" s="277" t="s">
        <v>557</v>
      </c>
      <c r="N191" s="277" t="s">
        <v>690</v>
      </c>
      <c r="O191" s="277" t="s">
        <v>689</v>
      </c>
      <c r="P191" s="277" t="s">
        <v>557</v>
      </c>
      <c r="Q191" s="277" t="s">
        <v>556</v>
      </c>
      <c r="R191" s="277" t="s">
        <v>689</v>
      </c>
      <c r="S191" s="276">
        <v>0</v>
      </c>
      <c r="T191" s="276">
        <v>0</v>
      </c>
      <c r="U191" s="276">
        <v>0</v>
      </c>
      <c r="V191" s="276">
        <v>0</v>
      </c>
      <c r="W191" s="276">
        <v>0</v>
      </c>
      <c r="X191" s="276">
        <v>0</v>
      </c>
      <c r="Y191" s="276">
        <v>0</v>
      </c>
      <c r="Z191" s="276">
        <v>0</v>
      </c>
      <c r="AA191" s="276">
        <v>0</v>
      </c>
      <c r="AB191" s="276">
        <v>0</v>
      </c>
      <c r="AC191" s="276"/>
      <c r="AD191" s="276">
        <v>0</v>
      </c>
      <c r="AE191" s="276"/>
      <c r="AF191" s="276">
        <v>0</v>
      </c>
      <c r="AG191" s="276">
        <v>0</v>
      </c>
      <c r="AH191" s="283" t="s">
        <v>483</v>
      </c>
      <c r="AJ191" s="281" t="s">
        <v>553</v>
      </c>
      <c r="AK191" s="280" t="s">
        <v>552</v>
      </c>
      <c r="AL191" s="276">
        <v>1.6</v>
      </c>
      <c r="AM191" s="279">
        <v>0</v>
      </c>
      <c r="AN191" s="276">
        <v>0</v>
      </c>
      <c r="AO191" s="276">
        <v>1.6</v>
      </c>
      <c r="AP191" s="279">
        <v>0</v>
      </c>
      <c r="AQ191" s="276">
        <v>0</v>
      </c>
      <c r="AR191" s="276">
        <v>0</v>
      </c>
      <c r="AS191" s="271">
        <v>2</v>
      </c>
      <c r="AT191" s="276">
        <v>0</v>
      </c>
      <c r="AU191" s="279">
        <v>0</v>
      </c>
      <c r="AV191" s="276">
        <v>0</v>
      </c>
      <c r="AW191" s="276">
        <v>0</v>
      </c>
      <c r="AX191" s="279">
        <v>0</v>
      </c>
      <c r="AY191" s="276">
        <v>0</v>
      </c>
      <c r="AZ191" s="276">
        <v>0</v>
      </c>
      <c r="BA191" s="278" t="s">
        <v>551</v>
      </c>
      <c r="BB191" s="276">
        <v>0</v>
      </c>
      <c r="BC191" s="279">
        <v>0</v>
      </c>
      <c r="BD191" s="276">
        <v>0</v>
      </c>
      <c r="BE191" s="276">
        <v>0</v>
      </c>
      <c r="BF191" s="279">
        <v>0</v>
      </c>
      <c r="BG191" s="276">
        <v>0</v>
      </c>
      <c r="BH191" s="276">
        <v>0</v>
      </c>
      <c r="BI191" s="278" t="s">
        <v>550</v>
      </c>
      <c r="BJ191" s="276">
        <v>0</v>
      </c>
      <c r="BK191" s="276">
        <v>0</v>
      </c>
      <c r="BL191" s="276">
        <v>0</v>
      </c>
      <c r="BM191" s="276">
        <v>0</v>
      </c>
      <c r="BN191" s="276">
        <v>0</v>
      </c>
      <c r="BO191" s="276">
        <v>0</v>
      </c>
      <c r="BP191" s="276">
        <v>0</v>
      </c>
    </row>
    <row r="192" spans="1:68" x14ac:dyDescent="0.35">
      <c r="A192" s="277" t="s">
        <v>563</v>
      </c>
      <c r="B192" s="277" t="s">
        <v>562</v>
      </c>
      <c r="C192" s="283" t="s">
        <v>804</v>
      </c>
      <c r="D192" s="277" t="s">
        <v>560</v>
      </c>
      <c r="F192" s="277" t="s">
        <v>803</v>
      </c>
      <c r="K192" s="277" t="s">
        <v>689</v>
      </c>
      <c r="L192" s="277" t="s">
        <v>557</v>
      </c>
      <c r="N192" s="277" t="s">
        <v>690</v>
      </c>
      <c r="O192" s="277" t="s">
        <v>689</v>
      </c>
      <c r="P192" s="277" t="s">
        <v>557</v>
      </c>
      <c r="Q192" s="277" t="s">
        <v>556</v>
      </c>
      <c r="R192" s="277" t="s">
        <v>689</v>
      </c>
      <c r="S192" s="276">
        <v>0</v>
      </c>
      <c r="T192" s="276">
        <v>0</v>
      </c>
      <c r="U192" s="276">
        <v>0</v>
      </c>
      <c r="V192" s="276">
        <v>0</v>
      </c>
      <c r="W192" s="276">
        <v>0</v>
      </c>
      <c r="X192" s="276">
        <v>0</v>
      </c>
      <c r="Y192" s="276">
        <v>0</v>
      </c>
      <c r="Z192" s="276">
        <v>0</v>
      </c>
      <c r="AA192" s="276">
        <v>0</v>
      </c>
      <c r="AB192" s="276">
        <v>0</v>
      </c>
      <c r="AC192" s="276"/>
      <c r="AD192" s="276">
        <v>0</v>
      </c>
      <c r="AE192" s="276"/>
      <c r="AF192" s="276">
        <v>0</v>
      </c>
      <c r="AG192" s="276">
        <v>0</v>
      </c>
      <c r="AH192" s="283" t="s">
        <v>483</v>
      </c>
      <c r="AJ192" s="281" t="s">
        <v>553</v>
      </c>
      <c r="AK192" s="280" t="s">
        <v>552</v>
      </c>
      <c r="AL192" s="276">
        <v>1</v>
      </c>
      <c r="AM192" s="279">
        <v>0</v>
      </c>
      <c r="AN192" s="276">
        <v>0</v>
      </c>
      <c r="AO192" s="276">
        <v>1</v>
      </c>
      <c r="AP192" s="279">
        <v>0</v>
      </c>
      <c r="AQ192" s="276">
        <v>0</v>
      </c>
      <c r="AR192" s="276">
        <v>0</v>
      </c>
      <c r="AS192" s="271">
        <v>2</v>
      </c>
      <c r="AT192" s="276">
        <v>0</v>
      </c>
      <c r="AU192" s="279">
        <v>0</v>
      </c>
      <c r="AV192" s="276">
        <v>0</v>
      </c>
      <c r="AW192" s="276">
        <v>0</v>
      </c>
      <c r="AX192" s="279">
        <v>0</v>
      </c>
      <c r="AY192" s="276">
        <v>0</v>
      </c>
      <c r="AZ192" s="276">
        <v>0</v>
      </c>
      <c r="BA192" s="278" t="s">
        <v>551</v>
      </c>
      <c r="BB192" s="276">
        <v>0</v>
      </c>
      <c r="BC192" s="279">
        <v>0</v>
      </c>
      <c r="BD192" s="276">
        <v>0</v>
      </c>
      <c r="BE192" s="276">
        <v>0</v>
      </c>
      <c r="BF192" s="279">
        <v>0</v>
      </c>
      <c r="BG192" s="276">
        <v>0</v>
      </c>
      <c r="BH192" s="276">
        <v>0</v>
      </c>
      <c r="BI192" s="278" t="s">
        <v>550</v>
      </c>
      <c r="BJ192" s="276">
        <v>0</v>
      </c>
      <c r="BK192" s="276">
        <v>0</v>
      </c>
      <c r="BL192" s="276">
        <v>0</v>
      </c>
      <c r="BM192" s="276">
        <v>0</v>
      </c>
      <c r="BN192" s="276">
        <v>0</v>
      </c>
      <c r="BO192" s="276">
        <v>0</v>
      </c>
      <c r="BP192" s="276">
        <v>0</v>
      </c>
    </row>
    <row r="193" spans="1:68" x14ac:dyDescent="0.35">
      <c r="A193" s="277" t="s">
        <v>563</v>
      </c>
      <c r="B193" s="277" t="s">
        <v>562</v>
      </c>
      <c r="C193" s="283" t="s">
        <v>802</v>
      </c>
      <c r="D193" s="277" t="s">
        <v>560</v>
      </c>
      <c r="F193" s="277" t="s">
        <v>801</v>
      </c>
      <c r="K193" s="277" t="s">
        <v>689</v>
      </c>
      <c r="L193" s="277" t="s">
        <v>557</v>
      </c>
      <c r="N193" s="277" t="s">
        <v>690</v>
      </c>
      <c r="O193" s="277" t="s">
        <v>689</v>
      </c>
      <c r="P193" s="277" t="s">
        <v>557</v>
      </c>
      <c r="Q193" s="277" t="s">
        <v>556</v>
      </c>
      <c r="R193" s="277" t="s">
        <v>689</v>
      </c>
      <c r="S193" s="276">
        <v>0</v>
      </c>
      <c r="T193" s="276">
        <v>0</v>
      </c>
      <c r="U193" s="276">
        <v>0</v>
      </c>
      <c r="V193" s="276">
        <v>0</v>
      </c>
      <c r="W193" s="276">
        <v>0</v>
      </c>
      <c r="X193" s="276">
        <v>0</v>
      </c>
      <c r="Y193" s="276">
        <v>0</v>
      </c>
      <c r="Z193" s="276">
        <v>0</v>
      </c>
      <c r="AA193" s="276">
        <v>0</v>
      </c>
      <c r="AB193" s="276">
        <v>0</v>
      </c>
      <c r="AC193" s="276"/>
      <c r="AD193" s="276">
        <v>0</v>
      </c>
      <c r="AE193" s="276"/>
      <c r="AF193" s="276">
        <v>0</v>
      </c>
      <c r="AG193" s="276">
        <v>0</v>
      </c>
      <c r="AH193" s="283" t="s">
        <v>86</v>
      </c>
      <c r="AI193" s="282" t="s">
        <v>790</v>
      </c>
      <c r="AJ193" s="281" t="s">
        <v>553</v>
      </c>
      <c r="AK193" s="280" t="s">
        <v>552</v>
      </c>
      <c r="AL193" s="276">
        <v>1.02</v>
      </c>
      <c r="AM193" s="279">
        <v>0</v>
      </c>
      <c r="AN193" s="276">
        <v>0</v>
      </c>
      <c r="AO193" s="276">
        <v>1.02</v>
      </c>
      <c r="AP193" s="279">
        <v>0</v>
      </c>
      <c r="AQ193" s="276">
        <v>0</v>
      </c>
      <c r="AR193" s="276">
        <v>0</v>
      </c>
      <c r="AS193" s="271">
        <v>2</v>
      </c>
      <c r="AT193" s="276">
        <v>0</v>
      </c>
      <c r="AU193" s="279">
        <v>0</v>
      </c>
      <c r="AV193" s="276">
        <v>0</v>
      </c>
      <c r="AW193" s="276">
        <v>0</v>
      </c>
      <c r="AX193" s="279">
        <v>0</v>
      </c>
      <c r="AY193" s="276">
        <v>0</v>
      </c>
      <c r="AZ193" s="276">
        <v>0</v>
      </c>
      <c r="BA193" s="278" t="s">
        <v>551</v>
      </c>
      <c r="BB193" s="276">
        <v>0</v>
      </c>
      <c r="BC193" s="279">
        <v>0</v>
      </c>
      <c r="BD193" s="276">
        <v>0</v>
      </c>
      <c r="BE193" s="276">
        <v>0</v>
      </c>
      <c r="BF193" s="279">
        <v>0</v>
      </c>
      <c r="BG193" s="276">
        <v>0</v>
      </c>
      <c r="BH193" s="276">
        <v>0</v>
      </c>
      <c r="BI193" s="278" t="s">
        <v>550</v>
      </c>
      <c r="BJ193" s="276">
        <v>0</v>
      </c>
      <c r="BK193" s="276">
        <v>0</v>
      </c>
      <c r="BL193" s="276">
        <v>0</v>
      </c>
      <c r="BM193" s="276">
        <v>0</v>
      </c>
      <c r="BN193" s="276">
        <v>0</v>
      </c>
      <c r="BO193" s="276">
        <v>0</v>
      </c>
      <c r="BP193" s="276">
        <v>0</v>
      </c>
    </row>
    <row r="194" spans="1:68" x14ac:dyDescent="0.35">
      <c r="A194" s="277" t="s">
        <v>563</v>
      </c>
      <c r="B194" s="277" t="s">
        <v>562</v>
      </c>
      <c r="C194" s="283" t="s">
        <v>794</v>
      </c>
      <c r="D194" s="277" t="s">
        <v>560</v>
      </c>
      <c r="F194" s="277" t="s">
        <v>800</v>
      </c>
      <c r="K194" s="277" t="s">
        <v>689</v>
      </c>
      <c r="L194" s="277" t="s">
        <v>557</v>
      </c>
      <c r="N194" s="277" t="s">
        <v>690</v>
      </c>
      <c r="O194" s="277" t="s">
        <v>689</v>
      </c>
      <c r="P194" s="277" t="s">
        <v>557</v>
      </c>
      <c r="Q194" s="277" t="s">
        <v>556</v>
      </c>
      <c r="R194" s="277" t="s">
        <v>689</v>
      </c>
      <c r="S194" s="276">
        <v>0</v>
      </c>
      <c r="T194" s="276">
        <v>0</v>
      </c>
      <c r="U194" s="276">
        <v>0</v>
      </c>
      <c r="V194" s="276">
        <v>0</v>
      </c>
      <c r="W194" s="276">
        <v>0</v>
      </c>
      <c r="X194" s="276">
        <v>0</v>
      </c>
      <c r="Y194" s="276">
        <v>0</v>
      </c>
      <c r="Z194" s="276">
        <v>0</v>
      </c>
      <c r="AA194" s="276">
        <v>0</v>
      </c>
      <c r="AB194" s="276">
        <v>0</v>
      </c>
      <c r="AC194" s="276"/>
      <c r="AD194" s="276">
        <v>0</v>
      </c>
      <c r="AE194" s="276"/>
      <c r="AF194" s="276">
        <v>0</v>
      </c>
      <c r="AG194" s="276">
        <v>0</v>
      </c>
      <c r="AH194" s="283" t="s">
        <v>483</v>
      </c>
      <c r="AJ194" s="281" t="s">
        <v>553</v>
      </c>
      <c r="AK194" s="280" t="s">
        <v>552</v>
      </c>
      <c r="AL194" s="276">
        <v>1.18</v>
      </c>
      <c r="AM194" s="279">
        <v>0</v>
      </c>
      <c r="AN194" s="276">
        <v>0</v>
      </c>
      <c r="AO194" s="276">
        <v>1.18</v>
      </c>
      <c r="AP194" s="279">
        <v>0</v>
      </c>
      <c r="AQ194" s="276">
        <v>0</v>
      </c>
      <c r="AR194" s="276">
        <v>0</v>
      </c>
      <c r="AS194" s="271">
        <v>2</v>
      </c>
      <c r="AT194" s="276">
        <v>0</v>
      </c>
      <c r="AU194" s="279">
        <v>0</v>
      </c>
      <c r="AV194" s="276">
        <v>0</v>
      </c>
      <c r="AW194" s="276">
        <v>0</v>
      </c>
      <c r="AX194" s="279">
        <v>0</v>
      </c>
      <c r="AY194" s="276">
        <v>0</v>
      </c>
      <c r="AZ194" s="276">
        <v>0</v>
      </c>
      <c r="BA194" s="278" t="s">
        <v>551</v>
      </c>
      <c r="BB194" s="276">
        <v>0</v>
      </c>
      <c r="BC194" s="279">
        <v>0</v>
      </c>
      <c r="BD194" s="276">
        <v>0</v>
      </c>
      <c r="BE194" s="276">
        <v>0</v>
      </c>
      <c r="BF194" s="279">
        <v>0</v>
      </c>
      <c r="BG194" s="276">
        <v>0</v>
      </c>
      <c r="BH194" s="276">
        <v>0</v>
      </c>
      <c r="BI194" s="278" t="s">
        <v>550</v>
      </c>
      <c r="BJ194" s="276">
        <v>0</v>
      </c>
      <c r="BK194" s="276">
        <v>0</v>
      </c>
      <c r="BL194" s="276">
        <v>0</v>
      </c>
      <c r="BM194" s="276">
        <v>0</v>
      </c>
      <c r="BN194" s="276">
        <v>0</v>
      </c>
      <c r="BO194" s="276">
        <v>0</v>
      </c>
      <c r="BP194" s="276">
        <v>0</v>
      </c>
    </row>
    <row r="195" spans="1:68" x14ac:dyDescent="0.35">
      <c r="A195" s="277" t="s">
        <v>563</v>
      </c>
      <c r="B195" s="277" t="s">
        <v>562</v>
      </c>
      <c r="C195" s="283" t="s">
        <v>791</v>
      </c>
      <c r="D195" s="277" t="s">
        <v>560</v>
      </c>
      <c r="F195" s="277" t="s">
        <v>799</v>
      </c>
      <c r="K195" s="277" t="s">
        <v>689</v>
      </c>
      <c r="L195" s="277" t="s">
        <v>557</v>
      </c>
      <c r="N195" s="277" t="s">
        <v>690</v>
      </c>
      <c r="O195" s="277" t="s">
        <v>689</v>
      </c>
      <c r="P195" s="277" t="s">
        <v>557</v>
      </c>
      <c r="Q195" s="277" t="s">
        <v>556</v>
      </c>
      <c r="R195" s="277" t="s">
        <v>689</v>
      </c>
      <c r="S195" s="276">
        <v>0</v>
      </c>
      <c r="T195" s="276">
        <v>0</v>
      </c>
      <c r="U195" s="276">
        <v>0</v>
      </c>
      <c r="V195" s="276">
        <v>0</v>
      </c>
      <c r="W195" s="276">
        <v>0</v>
      </c>
      <c r="X195" s="276">
        <v>0</v>
      </c>
      <c r="Y195" s="276">
        <v>0</v>
      </c>
      <c r="Z195" s="276">
        <v>0</v>
      </c>
      <c r="AA195" s="276">
        <v>0</v>
      </c>
      <c r="AB195" s="276">
        <v>0</v>
      </c>
      <c r="AC195" s="276"/>
      <c r="AD195" s="276">
        <v>0</v>
      </c>
      <c r="AE195" s="276"/>
      <c r="AF195" s="276">
        <v>0</v>
      </c>
      <c r="AG195" s="276">
        <v>0</v>
      </c>
      <c r="AH195" s="283" t="s">
        <v>483</v>
      </c>
      <c r="AJ195" s="281" t="s">
        <v>553</v>
      </c>
      <c r="AK195" s="280" t="s">
        <v>552</v>
      </c>
      <c r="AL195" s="276">
        <v>0.86</v>
      </c>
      <c r="AM195" s="279">
        <v>0</v>
      </c>
      <c r="AN195" s="276">
        <v>0</v>
      </c>
      <c r="AO195" s="276">
        <v>0.86</v>
      </c>
      <c r="AP195" s="279">
        <v>0</v>
      </c>
      <c r="AQ195" s="276">
        <v>0</v>
      </c>
      <c r="AR195" s="276">
        <v>0</v>
      </c>
      <c r="AS195" s="271">
        <v>2</v>
      </c>
      <c r="AT195" s="276">
        <v>0</v>
      </c>
      <c r="AU195" s="279">
        <v>0</v>
      </c>
      <c r="AV195" s="276">
        <v>0</v>
      </c>
      <c r="AW195" s="276">
        <v>0</v>
      </c>
      <c r="AX195" s="279">
        <v>0</v>
      </c>
      <c r="AY195" s="276">
        <v>0</v>
      </c>
      <c r="AZ195" s="276">
        <v>0</v>
      </c>
      <c r="BA195" s="278" t="s">
        <v>551</v>
      </c>
      <c r="BB195" s="276">
        <v>0</v>
      </c>
      <c r="BC195" s="279">
        <v>0</v>
      </c>
      <c r="BD195" s="276">
        <v>0</v>
      </c>
      <c r="BE195" s="276">
        <v>0</v>
      </c>
      <c r="BF195" s="279">
        <v>0</v>
      </c>
      <c r="BG195" s="276">
        <v>0</v>
      </c>
      <c r="BH195" s="276">
        <v>0</v>
      </c>
      <c r="BI195" s="278" t="s">
        <v>550</v>
      </c>
      <c r="BJ195" s="276">
        <v>0</v>
      </c>
      <c r="BK195" s="276">
        <v>0</v>
      </c>
      <c r="BL195" s="276">
        <v>0</v>
      </c>
      <c r="BM195" s="276">
        <v>0</v>
      </c>
      <c r="BN195" s="276">
        <v>0</v>
      </c>
      <c r="BO195" s="276">
        <v>0</v>
      </c>
      <c r="BP195" s="276">
        <v>0</v>
      </c>
    </row>
    <row r="196" spans="1:68" x14ac:dyDescent="0.35">
      <c r="A196" s="277" t="s">
        <v>563</v>
      </c>
      <c r="B196" s="277" t="s">
        <v>562</v>
      </c>
      <c r="C196" s="283" t="s">
        <v>798</v>
      </c>
      <c r="D196" s="277" t="s">
        <v>560</v>
      </c>
      <c r="F196" s="277" t="s">
        <v>797</v>
      </c>
      <c r="K196" s="277" t="s">
        <v>689</v>
      </c>
      <c r="L196" s="277" t="s">
        <v>557</v>
      </c>
      <c r="N196" s="277" t="s">
        <v>690</v>
      </c>
      <c r="O196" s="277" t="s">
        <v>689</v>
      </c>
      <c r="P196" s="277" t="s">
        <v>557</v>
      </c>
      <c r="Q196" s="277" t="s">
        <v>556</v>
      </c>
      <c r="R196" s="277" t="s">
        <v>689</v>
      </c>
      <c r="S196" s="276">
        <v>1512</v>
      </c>
      <c r="T196" s="276">
        <v>0</v>
      </c>
      <c r="U196" s="276">
        <v>0</v>
      </c>
      <c r="V196" s="276">
        <v>0</v>
      </c>
      <c r="W196" s="276">
        <v>0</v>
      </c>
      <c r="X196" s="276">
        <v>0</v>
      </c>
      <c r="Y196" s="276">
        <v>0</v>
      </c>
      <c r="Z196" s="276">
        <v>0</v>
      </c>
      <c r="AA196" s="276">
        <v>0</v>
      </c>
      <c r="AB196" s="276">
        <v>0</v>
      </c>
      <c r="AC196" s="276"/>
      <c r="AD196" s="276">
        <v>0</v>
      </c>
      <c r="AE196" s="276"/>
      <c r="AF196" s="276">
        <v>0</v>
      </c>
      <c r="AG196" s="276">
        <v>0</v>
      </c>
      <c r="AH196" s="283" t="s">
        <v>483</v>
      </c>
      <c r="AJ196" s="281" t="s">
        <v>553</v>
      </c>
      <c r="AK196" s="280" t="s">
        <v>552</v>
      </c>
      <c r="AL196" s="276">
        <v>0</v>
      </c>
      <c r="AM196" s="279">
        <v>0</v>
      </c>
      <c r="AN196" s="276">
        <v>15</v>
      </c>
      <c r="AO196" s="276">
        <v>0</v>
      </c>
      <c r="AP196" s="279">
        <v>0</v>
      </c>
      <c r="AQ196" s="276">
        <v>0</v>
      </c>
      <c r="AR196" s="276">
        <v>0</v>
      </c>
      <c r="AS196" s="271">
        <v>2</v>
      </c>
      <c r="AT196" s="276">
        <v>0</v>
      </c>
      <c r="AU196" s="279">
        <v>0</v>
      </c>
      <c r="AV196" s="276">
        <v>0</v>
      </c>
      <c r="AW196" s="276">
        <v>0</v>
      </c>
      <c r="AX196" s="279">
        <v>0</v>
      </c>
      <c r="AY196" s="276">
        <v>0</v>
      </c>
      <c r="AZ196" s="276">
        <v>0</v>
      </c>
      <c r="BA196" s="278" t="s">
        <v>551</v>
      </c>
      <c r="BB196" s="276">
        <v>0</v>
      </c>
      <c r="BC196" s="279">
        <v>0</v>
      </c>
      <c r="BD196" s="276">
        <v>0</v>
      </c>
      <c r="BE196" s="276">
        <v>0</v>
      </c>
      <c r="BF196" s="279">
        <v>0</v>
      </c>
      <c r="BG196" s="276">
        <v>0</v>
      </c>
      <c r="BH196" s="276">
        <v>0</v>
      </c>
      <c r="BI196" s="278" t="s">
        <v>550</v>
      </c>
      <c r="BJ196" s="276">
        <v>0</v>
      </c>
      <c r="BK196" s="276">
        <v>0</v>
      </c>
      <c r="BL196" s="276">
        <v>0</v>
      </c>
      <c r="BM196" s="276">
        <v>0</v>
      </c>
      <c r="BN196" s="276">
        <v>0</v>
      </c>
      <c r="BO196" s="276">
        <v>0</v>
      </c>
      <c r="BP196" s="276">
        <v>0</v>
      </c>
    </row>
    <row r="197" spans="1:68" x14ac:dyDescent="0.35">
      <c r="A197" s="277" t="s">
        <v>563</v>
      </c>
      <c r="B197" s="277" t="s">
        <v>562</v>
      </c>
      <c r="C197" s="283" t="s">
        <v>796</v>
      </c>
      <c r="D197" s="277" t="s">
        <v>560</v>
      </c>
      <c r="F197" s="277" t="s">
        <v>795</v>
      </c>
      <c r="K197" s="277" t="s">
        <v>689</v>
      </c>
      <c r="L197" s="277" t="s">
        <v>557</v>
      </c>
      <c r="N197" s="277" t="s">
        <v>690</v>
      </c>
      <c r="O197" s="277" t="s">
        <v>689</v>
      </c>
      <c r="P197" s="277" t="s">
        <v>557</v>
      </c>
      <c r="Q197" s="277" t="s">
        <v>556</v>
      </c>
      <c r="R197" s="277" t="s">
        <v>689</v>
      </c>
      <c r="S197" s="276">
        <v>0</v>
      </c>
      <c r="T197" s="276">
        <v>0</v>
      </c>
      <c r="U197" s="276">
        <v>0</v>
      </c>
      <c r="V197" s="276">
        <v>0</v>
      </c>
      <c r="W197" s="276">
        <v>0</v>
      </c>
      <c r="X197" s="276">
        <v>0</v>
      </c>
      <c r="Y197" s="276">
        <v>0</v>
      </c>
      <c r="Z197" s="276">
        <v>0</v>
      </c>
      <c r="AA197" s="276">
        <v>0</v>
      </c>
      <c r="AB197" s="276">
        <v>0</v>
      </c>
      <c r="AC197" s="276"/>
      <c r="AD197" s="276">
        <v>0</v>
      </c>
      <c r="AE197" s="276"/>
      <c r="AF197" s="276">
        <v>0</v>
      </c>
      <c r="AG197" s="276">
        <v>0</v>
      </c>
      <c r="AH197" s="283" t="s">
        <v>86</v>
      </c>
      <c r="AI197" s="282" t="s">
        <v>794</v>
      </c>
      <c r="AJ197" s="281" t="s">
        <v>553</v>
      </c>
      <c r="AK197" s="280" t="s">
        <v>552</v>
      </c>
      <c r="AL197" s="276">
        <v>2.8</v>
      </c>
      <c r="AM197" s="279">
        <v>0</v>
      </c>
      <c r="AN197" s="276">
        <v>0</v>
      </c>
      <c r="AO197" s="276">
        <v>2.8</v>
      </c>
      <c r="AP197" s="279">
        <v>0</v>
      </c>
      <c r="AQ197" s="276">
        <v>0</v>
      </c>
      <c r="AR197" s="276">
        <v>0</v>
      </c>
      <c r="AS197" s="271">
        <v>2</v>
      </c>
      <c r="AT197" s="276">
        <v>0</v>
      </c>
      <c r="AU197" s="279">
        <v>0</v>
      </c>
      <c r="AV197" s="276">
        <v>0</v>
      </c>
      <c r="AW197" s="276">
        <v>0</v>
      </c>
      <c r="AX197" s="279">
        <v>0</v>
      </c>
      <c r="AY197" s="276">
        <v>0</v>
      </c>
      <c r="AZ197" s="276">
        <v>0</v>
      </c>
      <c r="BA197" s="278" t="s">
        <v>551</v>
      </c>
      <c r="BB197" s="276">
        <v>0</v>
      </c>
      <c r="BC197" s="279">
        <v>0</v>
      </c>
      <c r="BD197" s="276">
        <v>0</v>
      </c>
      <c r="BE197" s="276">
        <v>0</v>
      </c>
      <c r="BF197" s="279">
        <v>0</v>
      </c>
      <c r="BG197" s="276">
        <v>0</v>
      </c>
      <c r="BH197" s="276">
        <v>0</v>
      </c>
      <c r="BI197" s="278" t="s">
        <v>550</v>
      </c>
      <c r="BJ197" s="276">
        <v>0</v>
      </c>
      <c r="BK197" s="276">
        <v>0</v>
      </c>
      <c r="BL197" s="276">
        <v>0</v>
      </c>
      <c r="BM197" s="276">
        <v>0</v>
      </c>
      <c r="BN197" s="276">
        <v>0</v>
      </c>
      <c r="BO197" s="276">
        <v>0</v>
      </c>
      <c r="BP197" s="276">
        <v>0</v>
      </c>
    </row>
    <row r="198" spans="1:68" x14ac:dyDescent="0.35">
      <c r="A198" s="277" t="s">
        <v>563</v>
      </c>
      <c r="B198" s="277" t="s">
        <v>562</v>
      </c>
      <c r="C198" s="283" t="s">
        <v>793</v>
      </c>
      <c r="D198" s="277" t="s">
        <v>560</v>
      </c>
      <c r="F198" s="277" t="s">
        <v>792</v>
      </c>
      <c r="K198" s="277" t="s">
        <v>689</v>
      </c>
      <c r="L198" s="277" t="s">
        <v>557</v>
      </c>
      <c r="N198" s="277" t="s">
        <v>690</v>
      </c>
      <c r="O198" s="277" t="s">
        <v>689</v>
      </c>
      <c r="P198" s="277" t="s">
        <v>557</v>
      </c>
      <c r="Q198" s="277" t="s">
        <v>556</v>
      </c>
      <c r="R198" s="277" t="s">
        <v>689</v>
      </c>
      <c r="S198" s="276">
        <v>0</v>
      </c>
      <c r="T198" s="276">
        <v>0</v>
      </c>
      <c r="U198" s="276">
        <v>0</v>
      </c>
      <c r="V198" s="276">
        <v>0</v>
      </c>
      <c r="W198" s="276">
        <v>0</v>
      </c>
      <c r="X198" s="276">
        <v>0</v>
      </c>
      <c r="Y198" s="276">
        <v>0</v>
      </c>
      <c r="Z198" s="276">
        <v>0</v>
      </c>
      <c r="AA198" s="276">
        <v>0</v>
      </c>
      <c r="AB198" s="276">
        <v>0</v>
      </c>
      <c r="AC198" s="276"/>
      <c r="AD198" s="276">
        <v>0</v>
      </c>
      <c r="AE198" s="276"/>
      <c r="AF198" s="276">
        <v>0</v>
      </c>
      <c r="AG198" s="276">
        <v>0</v>
      </c>
      <c r="AH198" s="283" t="s">
        <v>86</v>
      </c>
      <c r="AI198" s="282" t="s">
        <v>791</v>
      </c>
      <c r="AJ198" s="281" t="s">
        <v>553</v>
      </c>
      <c r="AK198" s="280" t="s">
        <v>552</v>
      </c>
      <c r="AL198" s="276">
        <v>1.25</v>
      </c>
      <c r="AM198" s="279">
        <v>0</v>
      </c>
      <c r="AN198" s="276">
        <v>0</v>
      </c>
      <c r="AO198" s="276">
        <v>1.25</v>
      </c>
      <c r="AP198" s="279">
        <v>0</v>
      </c>
      <c r="AQ198" s="276">
        <v>0</v>
      </c>
      <c r="AR198" s="276">
        <v>0</v>
      </c>
      <c r="AS198" s="271">
        <v>2</v>
      </c>
      <c r="AT198" s="276">
        <v>0</v>
      </c>
      <c r="AU198" s="279">
        <v>0</v>
      </c>
      <c r="AV198" s="276">
        <v>0</v>
      </c>
      <c r="AW198" s="276">
        <v>0</v>
      </c>
      <c r="AX198" s="279">
        <v>0</v>
      </c>
      <c r="AY198" s="276">
        <v>0</v>
      </c>
      <c r="AZ198" s="276">
        <v>0</v>
      </c>
      <c r="BA198" s="278" t="s">
        <v>551</v>
      </c>
      <c r="BB198" s="276">
        <v>0</v>
      </c>
      <c r="BC198" s="279">
        <v>0</v>
      </c>
      <c r="BD198" s="276">
        <v>0</v>
      </c>
      <c r="BE198" s="276">
        <v>0</v>
      </c>
      <c r="BF198" s="279">
        <v>0</v>
      </c>
      <c r="BG198" s="276">
        <v>0</v>
      </c>
      <c r="BH198" s="276">
        <v>0</v>
      </c>
      <c r="BI198" s="278" t="s">
        <v>550</v>
      </c>
      <c r="BJ198" s="276">
        <v>0</v>
      </c>
      <c r="BK198" s="276">
        <v>0</v>
      </c>
      <c r="BL198" s="276">
        <v>0</v>
      </c>
      <c r="BM198" s="276">
        <v>0</v>
      </c>
      <c r="BN198" s="276">
        <v>0</v>
      </c>
      <c r="BO198" s="276">
        <v>0</v>
      </c>
      <c r="BP198" s="276">
        <v>0</v>
      </c>
    </row>
    <row r="199" spans="1:68" x14ac:dyDescent="0.35">
      <c r="A199" s="277" t="s">
        <v>563</v>
      </c>
      <c r="B199" s="277" t="s">
        <v>562</v>
      </c>
      <c r="C199" s="283" t="s">
        <v>790</v>
      </c>
      <c r="D199" s="277" t="s">
        <v>560</v>
      </c>
      <c r="F199" s="277" t="s">
        <v>789</v>
      </c>
      <c r="K199" s="277" t="s">
        <v>689</v>
      </c>
      <c r="L199" s="277" t="s">
        <v>557</v>
      </c>
      <c r="N199" s="277" t="s">
        <v>690</v>
      </c>
      <c r="O199" s="277" t="s">
        <v>689</v>
      </c>
      <c r="P199" s="277" t="s">
        <v>557</v>
      </c>
      <c r="Q199" s="277" t="s">
        <v>556</v>
      </c>
      <c r="R199" s="277" t="s">
        <v>689</v>
      </c>
      <c r="S199" s="276">
        <v>0</v>
      </c>
      <c r="T199" s="276">
        <v>0</v>
      </c>
      <c r="U199" s="276">
        <v>0</v>
      </c>
      <c r="V199" s="276">
        <v>0</v>
      </c>
      <c r="W199" s="276">
        <v>0</v>
      </c>
      <c r="X199" s="276">
        <v>0</v>
      </c>
      <c r="Y199" s="276">
        <v>0</v>
      </c>
      <c r="Z199" s="276">
        <v>0</v>
      </c>
      <c r="AA199" s="276">
        <v>0</v>
      </c>
      <c r="AB199" s="276">
        <v>0</v>
      </c>
      <c r="AC199" s="276"/>
      <c r="AD199" s="276">
        <v>0</v>
      </c>
      <c r="AE199" s="276"/>
      <c r="AF199" s="276">
        <v>0</v>
      </c>
      <c r="AG199" s="276">
        <v>0</v>
      </c>
      <c r="AH199" s="283" t="s">
        <v>483</v>
      </c>
      <c r="AJ199" s="281" t="s">
        <v>553</v>
      </c>
      <c r="AK199" s="280" t="s">
        <v>552</v>
      </c>
      <c r="AL199" s="276">
        <v>0.74</v>
      </c>
      <c r="AM199" s="279">
        <v>0</v>
      </c>
      <c r="AN199" s="276">
        <v>0</v>
      </c>
      <c r="AO199" s="276">
        <v>0.74</v>
      </c>
      <c r="AP199" s="279">
        <v>0</v>
      </c>
      <c r="AQ199" s="276">
        <v>0</v>
      </c>
      <c r="AR199" s="276">
        <v>0</v>
      </c>
      <c r="AS199" s="271">
        <v>2</v>
      </c>
      <c r="AT199" s="276">
        <v>0</v>
      </c>
      <c r="AU199" s="279">
        <v>0</v>
      </c>
      <c r="AV199" s="276">
        <v>0</v>
      </c>
      <c r="AW199" s="276">
        <v>0</v>
      </c>
      <c r="AX199" s="279">
        <v>0</v>
      </c>
      <c r="AY199" s="276">
        <v>0</v>
      </c>
      <c r="AZ199" s="276">
        <v>0</v>
      </c>
      <c r="BA199" s="278" t="s">
        <v>551</v>
      </c>
      <c r="BB199" s="276">
        <v>0</v>
      </c>
      <c r="BC199" s="279">
        <v>0</v>
      </c>
      <c r="BD199" s="276">
        <v>0</v>
      </c>
      <c r="BE199" s="276">
        <v>0</v>
      </c>
      <c r="BF199" s="279">
        <v>0</v>
      </c>
      <c r="BG199" s="276">
        <v>0</v>
      </c>
      <c r="BH199" s="276">
        <v>0</v>
      </c>
      <c r="BI199" s="278" t="s">
        <v>550</v>
      </c>
      <c r="BJ199" s="276">
        <v>0</v>
      </c>
      <c r="BK199" s="276">
        <v>0</v>
      </c>
      <c r="BL199" s="276">
        <v>0</v>
      </c>
      <c r="BM199" s="276">
        <v>0</v>
      </c>
      <c r="BN199" s="276">
        <v>0</v>
      </c>
      <c r="BO199" s="276">
        <v>0</v>
      </c>
      <c r="BP199" s="276">
        <v>0</v>
      </c>
    </row>
    <row r="200" spans="1:68" x14ac:dyDescent="0.35">
      <c r="A200" s="277" t="s">
        <v>563</v>
      </c>
      <c r="B200" s="277" t="s">
        <v>562</v>
      </c>
      <c r="C200" s="283" t="s">
        <v>788</v>
      </c>
      <c r="D200" s="277" t="s">
        <v>560</v>
      </c>
      <c r="F200" s="277" t="s">
        <v>787</v>
      </c>
      <c r="K200" s="277" t="s">
        <v>689</v>
      </c>
      <c r="L200" s="277" t="s">
        <v>557</v>
      </c>
      <c r="N200" s="277" t="s">
        <v>690</v>
      </c>
      <c r="O200" s="277" t="s">
        <v>689</v>
      </c>
      <c r="P200" s="277" t="s">
        <v>557</v>
      </c>
      <c r="Q200" s="277" t="s">
        <v>556</v>
      </c>
      <c r="R200" s="277" t="s">
        <v>689</v>
      </c>
      <c r="S200" s="276">
        <v>0</v>
      </c>
      <c r="T200" s="276">
        <v>0</v>
      </c>
      <c r="U200" s="276">
        <v>0</v>
      </c>
      <c r="V200" s="276">
        <v>0</v>
      </c>
      <c r="W200" s="276">
        <v>0</v>
      </c>
      <c r="X200" s="276">
        <v>0</v>
      </c>
      <c r="Y200" s="276">
        <v>0</v>
      </c>
      <c r="Z200" s="276">
        <v>0</v>
      </c>
      <c r="AA200" s="276">
        <v>0</v>
      </c>
      <c r="AB200" s="276">
        <v>0</v>
      </c>
      <c r="AC200" s="276"/>
      <c r="AD200" s="276">
        <v>0</v>
      </c>
      <c r="AE200" s="276"/>
      <c r="AF200" s="276">
        <v>0</v>
      </c>
      <c r="AG200" s="276">
        <v>0</v>
      </c>
      <c r="AH200" s="283" t="s">
        <v>483</v>
      </c>
      <c r="AJ200" s="281" t="s">
        <v>553</v>
      </c>
      <c r="AK200" s="280" t="s">
        <v>552</v>
      </c>
      <c r="AL200" s="276">
        <v>0</v>
      </c>
      <c r="AM200" s="279">
        <v>0</v>
      </c>
      <c r="AN200" s="276">
        <v>42</v>
      </c>
      <c r="AO200" s="276">
        <v>0</v>
      </c>
      <c r="AP200" s="279">
        <v>0</v>
      </c>
      <c r="AQ200" s="276">
        <v>0</v>
      </c>
      <c r="AR200" s="276">
        <v>0</v>
      </c>
      <c r="AS200" s="271">
        <v>2</v>
      </c>
      <c r="AT200" s="276">
        <v>0</v>
      </c>
      <c r="AU200" s="279">
        <v>0</v>
      </c>
      <c r="AV200" s="276">
        <v>0</v>
      </c>
      <c r="AW200" s="276">
        <v>0</v>
      </c>
      <c r="AX200" s="279">
        <v>0</v>
      </c>
      <c r="AY200" s="276">
        <v>0</v>
      </c>
      <c r="AZ200" s="276">
        <v>0</v>
      </c>
      <c r="BA200" s="278" t="s">
        <v>551</v>
      </c>
      <c r="BB200" s="276">
        <v>0</v>
      </c>
      <c r="BC200" s="279">
        <v>0</v>
      </c>
      <c r="BD200" s="276">
        <v>0</v>
      </c>
      <c r="BE200" s="276">
        <v>0</v>
      </c>
      <c r="BF200" s="279">
        <v>0</v>
      </c>
      <c r="BG200" s="276">
        <v>0</v>
      </c>
      <c r="BH200" s="276">
        <v>0</v>
      </c>
      <c r="BI200" s="278" t="s">
        <v>550</v>
      </c>
      <c r="BJ200" s="276">
        <v>0</v>
      </c>
      <c r="BK200" s="276">
        <v>0</v>
      </c>
      <c r="BL200" s="276">
        <v>0</v>
      </c>
      <c r="BM200" s="276">
        <v>0</v>
      </c>
      <c r="BN200" s="276">
        <v>0</v>
      </c>
      <c r="BO200" s="276">
        <v>0</v>
      </c>
      <c r="BP200" s="276">
        <v>0</v>
      </c>
    </row>
    <row r="201" spans="1:68" x14ac:dyDescent="0.35">
      <c r="A201" s="277" t="s">
        <v>563</v>
      </c>
      <c r="B201" s="277" t="s">
        <v>562</v>
      </c>
      <c r="C201" s="283" t="s">
        <v>786</v>
      </c>
      <c r="D201" s="277" t="s">
        <v>560</v>
      </c>
      <c r="F201" s="277" t="s">
        <v>785</v>
      </c>
      <c r="K201" s="277" t="s">
        <v>689</v>
      </c>
      <c r="L201" s="277" t="s">
        <v>557</v>
      </c>
      <c r="N201" s="277" t="s">
        <v>690</v>
      </c>
      <c r="O201" s="277" t="s">
        <v>689</v>
      </c>
      <c r="P201" s="277" t="s">
        <v>557</v>
      </c>
      <c r="Q201" s="277" t="s">
        <v>556</v>
      </c>
      <c r="R201" s="277" t="s">
        <v>689</v>
      </c>
      <c r="S201" s="276">
        <v>0</v>
      </c>
      <c r="T201" s="276">
        <v>0</v>
      </c>
      <c r="U201" s="276">
        <v>0</v>
      </c>
      <c r="V201" s="276">
        <v>0</v>
      </c>
      <c r="W201" s="276">
        <v>0</v>
      </c>
      <c r="X201" s="276">
        <v>0</v>
      </c>
      <c r="Y201" s="276">
        <v>0</v>
      </c>
      <c r="Z201" s="276">
        <v>0</v>
      </c>
      <c r="AA201" s="276">
        <v>0</v>
      </c>
      <c r="AB201" s="276">
        <v>0</v>
      </c>
      <c r="AC201" s="276"/>
      <c r="AD201" s="276">
        <v>0</v>
      </c>
      <c r="AE201" s="276"/>
      <c r="AF201" s="276">
        <v>0</v>
      </c>
      <c r="AG201" s="276">
        <v>0</v>
      </c>
      <c r="AH201" s="283" t="s">
        <v>86</v>
      </c>
      <c r="AI201" s="282" t="s">
        <v>784</v>
      </c>
      <c r="AJ201" s="281" t="s">
        <v>553</v>
      </c>
      <c r="AK201" s="280" t="s">
        <v>552</v>
      </c>
      <c r="AL201" s="276">
        <v>1.42</v>
      </c>
      <c r="AM201" s="279">
        <v>0</v>
      </c>
      <c r="AN201" s="276">
        <v>0</v>
      </c>
      <c r="AO201" s="276">
        <v>1.42</v>
      </c>
      <c r="AP201" s="279">
        <v>0</v>
      </c>
      <c r="AQ201" s="276">
        <v>0</v>
      </c>
      <c r="AR201" s="276">
        <v>0</v>
      </c>
      <c r="AS201" s="271">
        <v>2</v>
      </c>
      <c r="AT201" s="276">
        <v>0</v>
      </c>
      <c r="AU201" s="279">
        <v>0</v>
      </c>
      <c r="AV201" s="276">
        <v>0</v>
      </c>
      <c r="AW201" s="276">
        <v>0</v>
      </c>
      <c r="AX201" s="279">
        <v>0</v>
      </c>
      <c r="AY201" s="276">
        <v>0</v>
      </c>
      <c r="AZ201" s="276">
        <v>0</v>
      </c>
      <c r="BA201" s="278" t="s">
        <v>551</v>
      </c>
      <c r="BB201" s="276">
        <v>0</v>
      </c>
      <c r="BC201" s="279">
        <v>0</v>
      </c>
      <c r="BD201" s="276">
        <v>0</v>
      </c>
      <c r="BE201" s="276">
        <v>0</v>
      </c>
      <c r="BF201" s="279">
        <v>0</v>
      </c>
      <c r="BG201" s="276">
        <v>0</v>
      </c>
      <c r="BH201" s="276">
        <v>0</v>
      </c>
      <c r="BI201" s="278" t="s">
        <v>550</v>
      </c>
      <c r="BJ201" s="276">
        <v>0</v>
      </c>
      <c r="BK201" s="276">
        <v>0</v>
      </c>
      <c r="BL201" s="276">
        <v>0</v>
      </c>
      <c r="BM201" s="276">
        <v>0</v>
      </c>
      <c r="BN201" s="276">
        <v>0</v>
      </c>
      <c r="BO201" s="276">
        <v>0</v>
      </c>
      <c r="BP201" s="276">
        <v>0</v>
      </c>
    </row>
    <row r="202" spans="1:68" x14ac:dyDescent="0.35">
      <c r="A202" s="277" t="s">
        <v>563</v>
      </c>
      <c r="B202" s="277" t="s">
        <v>562</v>
      </c>
      <c r="C202" s="283" t="s">
        <v>784</v>
      </c>
      <c r="D202" s="277" t="s">
        <v>560</v>
      </c>
      <c r="F202" s="277" t="s">
        <v>783</v>
      </c>
      <c r="K202" s="277" t="s">
        <v>689</v>
      </c>
      <c r="L202" s="277" t="s">
        <v>557</v>
      </c>
      <c r="N202" s="277" t="s">
        <v>690</v>
      </c>
      <c r="O202" s="277" t="s">
        <v>689</v>
      </c>
      <c r="P202" s="277" t="s">
        <v>557</v>
      </c>
      <c r="Q202" s="277" t="s">
        <v>556</v>
      </c>
      <c r="R202" s="277" t="s">
        <v>689</v>
      </c>
      <c r="S202" s="276">
        <v>0</v>
      </c>
      <c r="T202" s="276">
        <v>0</v>
      </c>
      <c r="U202" s="276">
        <v>0</v>
      </c>
      <c r="V202" s="276">
        <v>0</v>
      </c>
      <c r="W202" s="276">
        <v>0</v>
      </c>
      <c r="X202" s="276">
        <v>0</v>
      </c>
      <c r="Y202" s="276">
        <v>0</v>
      </c>
      <c r="Z202" s="276">
        <v>0</v>
      </c>
      <c r="AA202" s="276">
        <v>0</v>
      </c>
      <c r="AB202" s="276">
        <v>0</v>
      </c>
      <c r="AC202" s="276"/>
      <c r="AD202" s="276">
        <v>0</v>
      </c>
      <c r="AE202" s="276"/>
      <c r="AF202" s="276">
        <v>0</v>
      </c>
      <c r="AG202" s="276">
        <v>0</v>
      </c>
      <c r="AH202" s="283" t="s">
        <v>483</v>
      </c>
      <c r="AJ202" s="281" t="s">
        <v>553</v>
      </c>
      <c r="AK202" s="280" t="s">
        <v>552</v>
      </c>
      <c r="AL202" s="276">
        <v>1.4</v>
      </c>
      <c r="AM202" s="279">
        <v>0</v>
      </c>
      <c r="AN202" s="276">
        <v>0</v>
      </c>
      <c r="AO202" s="276">
        <v>1.4</v>
      </c>
      <c r="AP202" s="279">
        <v>0</v>
      </c>
      <c r="AQ202" s="276">
        <v>0</v>
      </c>
      <c r="AR202" s="276">
        <v>0</v>
      </c>
      <c r="AS202" s="271">
        <v>2</v>
      </c>
      <c r="AT202" s="276">
        <v>0</v>
      </c>
      <c r="AU202" s="279">
        <v>0</v>
      </c>
      <c r="AV202" s="276">
        <v>0</v>
      </c>
      <c r="AW202" s="276">
        <v>0</v>
      </c>
      <c r="AX202" s="279">
        <v>0</v>
      </c>
      <c r="AY202" s="276">
        <v>0</v>
      </c>
      <c r="AZ202" s="276">
        <v>0</v>
      </c>
      <c r="BA202" s="278" t="s">
        <v>551</v>
      </c>
      <c r="BB202" s="276">
        <v>0</v>
      </c>
      <c r="BC202" s="279">
        <v>0</v>
      </c>
      <c r="BD202" s="276">
        <v>0</v>
      </c>
      <c r="BE202" s="276">
        <v>0</v>
      </c>
      <c r="BF202" s="279">
        <v>0</v>
      </c>
      <c r="BG202" s="276">
        <v>0</v>
      </c>
      <c r="BH202" s="276">
        <v>0</v>
      </c>
      <c r="BI202" s="278" t="s">
        <v>550</v>
      </c>
      <c r="BJ202" s="276">
        <v>0</v>
      </c>
      <c r="BK202" s="276">
        <v>0</v>
      </c>
      <c r="BL202" s="276">
        <v>0</v>
      </c>
      <c r="BM202" s="276">
        <v>0</v>
      </c>
      <c r="BN202" s="276">
        <v>0</v>
      </c>
      <c r="BO202" s="276">
        <v>0</v>
      </c>
      <c r="BP202" s="276">
        <v>0</v>
      </c>
    </row>
    <row r="203" spans="1:68" x14ac:dyDescent="0.35">
      <c r="A203" s="277" t="s">
        <v>563</v>
      </c>
      <c r="B203" s="277" t="s">
        <v>562</v>
      </c>
      <c r="C203" s="283" t="s">
        <v>782</v>
      </c>
      <c r="D203" s="277" t="s">
        <v>560</v>
      </c>
      <c r="F203" s="277" t="s">
        <v>781</v>
      </c>
      <c r="K203" s="277" t="s">
        <v>689</v>
      </c>
      <c r="L203" s="277" t="s">
        <v>557</v>
      </c>
      <c r="N203" s="277" t="s">
        <v>690</v>
      </c>
      <c r="O203" s="277" t="s">
        <v>689</v>
      </c>
      <c r="P203" s="277" t="s">
        <v>557</v>
      </c>
      <c r="Q203" s="277" t="s">
        <v>556</v>
      </c>
      <c r="R203" s="277" t="s">
        <v>689</v>
      </c>
      <c r="S203" s="276">
        <v>320</v>
      </c>
      <c r="T203" s="276">
        <v>0</v>
      </c>
      <c r="U203" s="276">
        <v>0</v>
      </c>
      <c r="V203" s="276">
        <v>0</v>
      </c>
      <c r="W203" s="276">
        <v>0</v>
      </c>
      <c r="X203" s="276">
        <v>0</v>
      </c>
      <c r="Y203" s="276">
        <v>0</v>
      </c>
      <c r="Z203" s="276">
        <v>0</v>
      </c>
      <c r="AA203" s="276">
        <v>0</v>
      </c>
      <c r="AB203" s="276">
        <v>0</v>
      </c>
      <c r="AC203" s="276"/>
      <c r="AD203" s="276">
        <v>0</v>
      </c>
      <c r="AE203" s="276"/>
      <c r="AF203" s="276">
        <v>0</v>
      </c>
      <c r="AG203" s="276">
        <v>0</v>
      </c>
      <c r="AH203" s="283" t="s">
        <v>483</v>
      </c>
      <c r="AJ203" s="281" t="s">
        <v>553</v>
      </c>
      <c r="AK203" s="280" t="s">
        <v>552</v>
      </c>
      <c r="AL203" s="276">
        <v>0</v>
      </c>
      <c r="AM203" s="279">
        <v>0</v>
      </c>
      <c r="AN203" s="276">
        <v>0</v>
      </c>
      <c r="AO203" s="276">
        <v>0</v>
      </c>
      <c r="AP203" s="279">
        <v>0</v>
      </c>
      <c r="AQ203" s="276">
        <v>0</v>
      </c>
      <c r="AR203" s="276">
        <v>0</v>
      </c>
      <c r="AS203" s="271">
        <v>2</v>
      </c>
      <c r="AT203" s="276">
        <v>0</v>
      </c>
      <c r="AU203" s="279">
        <v>0</v>
      </c>
      <c r="AV203" s="276">
        <v>0</v>
      </c>
      <c r="AW203" s="276">
        <v>0</v>
      </c>
      <c r="AX203" s="279">
        <v>0</v>
      </c>
      <c r="AY203" s="276">
        <v>0</v>
      </c>
      <c r="AZ203" s="276">
        <v>0</v>
      </c>
      <c r="BA203" s="278" t="s">
        <v>551</v>
      </c>
      <c r="BB203" s="276">
        <v>0</v>
      </c>
      <c r="BC203" s="279">
        <v>0</v>
      </c>
      <c r="BD203" s="276">
        <v>0</v>
      </c>
      <c r="BE203" s="276">
        <v>0</v>
      </c>
      <c r="BF203" s="279">
        <v>0</v>
      </c>
      <c r="BG203" s="276">
        <v>0</v>
      </c>
      <c r="BH203" s="276">
        <v>0</v>
      </c>
      <c r="BI203" s="278" t="s">
        <v>550</v>
      </c>
      <c r="BJ203" s="276">
        <v>0</v>
      </c>
      <c r="BK203" s="276">
        <v>0</v>
      </c>
      <c r="BL203" s="276">
        <v>0</v>
      </c>
      <c r="BM203" s="276">
        <v>0</v>
      </c>
      <c r="BN203" s="276">
        <v>0</v>
      </c>
      <c r="BO203" s="276">
        <v>0</v>
      </c>
      <c r="BP203" s="276">
        <v>0</v>
      </c>
    </row>
    <row r="204" spans="1:68" x14ac:dyDescent="0.35">
      <c r="A204" s="277" t="s">
        <v>563</v>
      </c>
      <c r="B204" s="277" t="s">
        <v>562</v>
      </c>
      <c r="C204" s="283" t="s">
        <v>780</v>
      </c>
      <c r="D204" s="277" t="s">
        <v>560</v>
      </c>
      <c r="F204" s="277" t="s">
        <v>779</v>
      </c>
      <c r="K204" s="277" t="s">
        <v>689</v>
      </c>
      <c r="L204" s="277" t="s">
        <v>557</v>
      </c>
      <c r="N204" s="277" t="s">
        <v>690</v>
      </c>
      <c r="O204" s="277" t="s">
        <v>689</v>
      </c>
      <c r="P204" s="277" t="s">
        <v>557</v>
      </c>
      <c r="Q204" s="277" t="s">
        <v>556</v>
      </c>
      <c r="R204" s="277" t="s">
        <v>689</v>
      </c>
      <c r="S204" s="276">
        <v>0</v>
      </c>
      <c r="T204" s="276">
        <v>0</v>
      </c>
      <c r="U204" s="276">
        <v>0</v>
      </c>
      <c r="V204" s="276">
        <v>0</v>
      </c>
      <c r="W204" s="276">
        <v>0</v>
      </c>
      <c r="X204" s="276">
        <v>0</v>
      </c>
      <c r="Y204" s="276">
        <v>0</v>
      </c>
      <c r="Z204" s="276">
        <v>0</v>
      </c>
      <c r="AA204" s="276">
        <v>0</v>
      </c>
      <c r="AB204" s="276">
        <v>0</v>
      </c>
      <c r="AC204" s="276"/>
      <c r="AD204" s="276">
        <v>0</v>
      </c>
      <c r="AE204" s="276"/>
      <c r="AF204" s="276">
        <v>0</v>
      </c>
      <c r="AG204" s="276">
        <v>0</v>
      </c>
      <c r="AH204" s="283" t="s">
        <v>86</v>
      </c>
      <c r="AI204" s="282" t="s">
        <v>774</v>
      </c>
      <c r="AJ204" s="281" t="s">
        <v>553</v>
      </c>
      <c r="AK204" s="280" t="s">
        <v>552</v>
      </c>
      <c r="AL204" s="276">
        <v>1.1000000000000001</v>
      </c>
      <c r="AM204" s="279">
        <v>0</v>
      </c>
      <c r="AN204" s="276">
        <v>0</v>
      </c>
      <c r="AO204" s="276">
        <v>1.1000000000000001</v>
      </c>
      <c r="AP204" s="279">
        <v>0</v>
      </c>
      <c r="AQ204" s="276">
        <v>0</v>
      </c>
      <c r="AR204" s="276">
        <v>0</v>
      </c>
      <c r="AS204" s="271">
        <v>2</v>
      </c>
      <c r="AT204" s="276">
        <v>0</v>
      </c>
      <c r="AU204" s="279">
        <v>0</v>
      </c>
      <c r="AV204" s="276">
        <v>0</v>
      </c>
      <c r="AW204" s="276">
        <v>0</v>
      </c>
      <c r="AX204" s="279">
        <v>0</v>
      </c>
      <c r="AY204" s="276">
        <v>0</v>
      </c>
      <c r="AZ204" s="276">
        <v>0</v>
      </c>
      <c r="BA204" s="278" t="s">
        <v>551</v>
      </c>
      <c r="BB204" s="276">
        <v>0</v>
      </c>
      <c r="BC204" s="279">
        <v>0</v>
      </c>
      <c r="BD204" s="276">
        <v>0</v>
      </c>
      <c r="BE204" s="276">
        <v>0</v>
      </c>
      <c r="BF204" s="279">
        <v>0</v>
      </c>
      <c r="BG204" s="276">
        <v>0</v>
      </c>
      <c r="BH204" s="276">
        <v>0</v>
      </c>
      <c r="BI204" s="278" t="s">
        <v>550</v>
      </c>
      <c r="BJ204" s="276">
        <v>0</v>
      </c>
      <c r="BK204" s="276">
        <v>0</v>
      </c>
      <c r="BL204" s="276">
        <v>0</v>
      </c>
      <c r="BM204" s="276">
        <v>0</v>
      </c>
      <c r="BN204" s="276">
        <v>0</v>
      </c>
      <c r="BO204" s="276">
        <v>0</v>
      </c>
      <c r="BP204" s="276">
        <v>0</v>
      </c>
    </row>
    <row r="205" spans="1:68" x14ac:dyDescent="0.35">
      <c r="A205" s="277" t="s">
        <v>563</v>
      </c>
      <c r="B205" s="277" t="s">
        <v>562</v>
      </c>
      <c r="C205" s="283" t="s">
        <v>778</v>
      </c>
      <c r="D205" s="277" t="s">
        <v>560</v>
      </c>
      <c r="F205" s="277" t="s">
        <v>777</v>
      </c>
      <c r="K205" s="277" t="s">
        <v>689</v>
      </c>
      <c r="L205" s="277" t="s">
        <v>557</v>
      </c>
      <c r="N205" s="277" t="s">
        <v>690</v>
      </c>
      <c r="O205" s="277" t="s">
        <v>689</v>
      </c>
      <c r="P205" s="277" t="s">
        <v>557</v>
      </c>
      <c r="Q205" s="277" t="s">
        <v>556</v>
      </c>
      <c r="R205" s="277" t="s">
        <v>689</v>
      </c>
      <c r="S205" s="276">
        <v>0</v>
      </c>
      <c r="T205" s="276">
        <v>0</v>
      </c>
      <c r="U205" s="276">
        <v>0</v>
      </c>
      <c r="V205" s="276">
        <v>0</v>
      </c>
      <c r="W205" s="276">
        <v>0</v>
      </c>
      <c r="X205" s="276">
        <v>0</v>
      </c>
      <c r="Y205" s="276">
        <v>0</v>
      </c>
      <c r="Z205" s="276">
        <v>0</v>
      </c>
      <c r="AA205" s="276">
        <v>0</v>
      </c>
      <c r="AB205" s="276">
        <v>0</v>
      </c>
      <c r="AC205" s="276"/>
      <c r="AD205" s="276">
        <v>0</v>
      </c>
      <c r="AE205" s="276"/>
      <c r="AF205" s="276">
        <v>0</v>
      </c>
      <c r="AG205" s="276">
        <v>0</v>
      </c>
      <c r="AH205" s="283" t="s">
        <v>86</v>
      </c>
      <c r="AI205" s="282" t="s">
        <v>772</v>
      </c>
      <c r="AJ205" s="281" t="s">
        <v>553</v>
      </c>
      <c r="AK205" s="280" t="s">
        <v>552</v>
      </c>
      <c r="AL205" s="276">
        <v>2.9</v>
      </c>
      <c r="AM205" s="279">
        <v>0</v>
      </c>
      <c r="AN205" s="276">
        <v>0</v>
      </c>
      <c r="AO205" s="276">
        <v>2.9</v>
      </c>
      <c r="AP205" s="279">
        <v>0</v>
      </c>
      <c r="AQ205" s="276">
        <v>0</v>
      </c>
      <c r="AR205" s="276">
        <v>0</v>
      </c>
      <c r="AS205" s="271">
        <v>2</v>
      </c>
      <c r="AT205" s="276">
        <v>0</v>
      </c>
      <c r="AU205" s="279">
        <v>0</v>
      </c>
      <c r="AV205" s="276">
        <v>0</v>
      </c>
      <c r="AW205" s="276">
        <v>0</v>
      </c>
      <c r="AX205" s="279">
        <v>0</v>
      </c>
      <c r="AY205" s="276">
        <v>0</v>
      </c>
      <c r="AZ205" s="276">
        <v>0</v>
      </c>
      <c r="BA205" s="278" t="s">
        <v>551</v>
      </c>
      <c r="BB205" s="276">
        <v>0</v>
      </c>
      <c r="BC205" s="279">
        <v>0</v>
      </c>
      <c r="BD205" s="276">
        <v>0</v>
      </c>
      <c r="BE205" s="276">
        <v>0</v>
      </c>
      <c r="BF205" s="279">
        <v>0</v>
      </c>
      <c r="BG205" s="276">
        <v>0</v>
      </c>
      <c r="BH205" s="276">
        <v>0</v>
      </c>
      <c r="BI205" s="278" t="s">
        <v>550</v>
      </c>
      <c r="BJ205" s="276">
        <v>0</v>
      </c>
      <c r="BK205" s="276">
        <v>0</v>
      </c>
      <c r="BL205" s="276">
        <v>0</v>
      </c>
      <c r="BM205" s="276">
        <v>0</v>
      </c>
      <c r="BN205" s="276">
        <v>0</v>
      </c>
      <c r="BO205" s="276">
        <v>0</v>
      </c>
      <c r="BP205" s="276">
        <v>0</v>
      </c>
    </row>
    <row r="206" spans="1:68" x14ac:dyDescent="0.35">
      <c r="A206" s="277" t="s">
        <v>563</v>
      </c>
      <c r="B206" s="277" t="s">
        <v>562</v>
      </c>
      <c r="C206" s="283" t="s">
        <v>776</v>
      </c>
      <c r="D206" s="277" t="s">
        <v>560</v>
      </c>
      <c r="F206" s="277" t="s">
        <v>775</v>
      </c>
      <c r="K206" s="277" t="s">
        <v>689</v>
      </c>
      <c r="L206" s="277" t="s">
        <v>557</v>
      </c>
      <c r="N206" s="277" t="s">
        <v>690</v>
      </c>
      <c r="O206" s="277" t="s">
        <v>689</v>
      </c>
      <c r="P206" s="277" t="s">
        <v>557</v>
      </c>
      <c r="Q206" s="277" t="s">
        <v>556</v>
      </c>
      <c r="R206" s="277" t="s">
        <v>689</v>
      </c>
      <c r="S206" s="276">
        <v>0</v>
      </c>
      <c r="T206" s="276">
        <v>0</v>
      </c>
      <c r="U206" s="276">
        <v>0</v>
      </c>
      <c r="V206" s="276">
        <v>0</v>
      </c>
      <c r="W206" s="276">
        <v>0</v>
      </c>
      <c r="X206" s="276">
        <v>0</v>
      </c>
      <c r="Y206" s="276">
        <v>0</v>
      </c>
      <c r="Z206" s="276">
        <v>0</v>
      </c>
      <c r="AA206" s="276">
        <v>0</v>
      </c>
      <c r="AB206" s="276">
        <v>0</v>
      </c>
      <c r="AC206" s="276"/>
      <c r="AD206" s="276">
        <v>0</v>
      </c>
      <c r="AE206" s="276"/>
      <c r="AF206" s="276">
        <v>0</v>
      </c>
      <c r="AG206" s="276">
        <v>0</v>
      </c>
      <c r="AH206" s="283" t="s">
        <v>86</v>
      </c>
      <c r="AI206" s="282" t="s">
        <v>770</v>
      </c>
      <c r="AJ206" s="281" t="s">
        <v>553</v>
      </c>
      <c r="AK206" s="280" t="s">
        <v>552</v>
      </c>
      <c r="AL206" s="276">
        <v>1.34</v>
      </c>
      <c r="AM206" s="279">
        <v>0</v>
      </c>
      <c r="AN206" s="276">
        <v>0</v>
      </c>
      <c r="AO206" s="276">
        <v>1.34</v>
      </c>
      <c r="AP206" s="279">
        <v>0</v>
      </c>
      <c r="AQ206" s="276">
        <v>0</v>
      </c>
      <c r="AR206" s="276">
        <v>0</v>
      </c>
      <c r="AS206" s="271">
        <v>2</v>
      </c>
      <c r="AT206" s="276">
        <v>0</v>
      </c>
      <c r="AU206" s="279">
        <v>0</v>
      </c>
      <c r="AV206" s="276">
        <v>0</v>
      </c>
      <c r="AW206" s="276">
        <v>0</v>
      </c>
      <c r="AX206" s="279">
        <v>0</v>
      </c>
      <c r="AY206" s="276">
        <v>0</v>
      </c>
      <c r="AZ206" s="276">
        <v>0</v>
      </c>
      <c r="BA206" s="278" t="s">
        <v>551</v>
      </c>
      <c r="BB206" s="276">
        <v>0</v>
      </c>
      <c r="BC206" s="279">
        <v>0</v>
      </c>
      <c r="BD206" s="276">
        <v>0</v>
      </c>
      <c r="BE206" s="276">
        <v>0</v>
      </c>
      <c r="BF206" s="279">
        <v>0</v>
      </c>
      <c r="BG206" s="276">
        <v>0</v>
      </c>
      <c r="BH206" s="276">
        <v>0</v>
      </c>
      <c r="BI206" s="278" t="s">
        <v>550</v>
      </c>
      <c r="BJ206" s="276">
        <v>0</v>
      </c>
      <c r="BK206" s="276">
        <v>0</v>
      </c>
      <c r="BL206" s="276">
        <v>0</v>
      </c>
      <c r="BM206" s="276">
        <v>0</v>
      </c>
      <c r="BN206" s="276">
        <v>0</v>
      </c>
      <c r="BO206" s="276">
        <v>0</v>
      </c>
      <c r="BP206" s="276">
        <v>0</v>
      </c>
    </row>
    <row r="207" spans="1:68" x14ac:dyDescent="0.35">
      <c r="A207" s="277" t="s">
        <v>563</v>
      </c>
      <c r="B207" s="277" t="s">
        <v>562</v>
      </c>
      <c r="C207" s="283" t="s">
        <v>774</v>
      </c>
      <c r="D207" s="277" t="s">
        <v>560</v>
      </c>
      <c r="F207" s="277" t="s">
        <v>773</v>
      </c>
      <c r="K207" s="277" t="s">
        <v>689</v>
      </c>
      <c r="L207" s="277" t="s">
        <v>557</v>
      </c>
      <c r="N207" s="277" t="s">
        <v>690</v>
      </c>
      <c r="O207" s="277" t="s">
        <v>689</v>
      </c>
      <c r="P207" s="277" t="s">
        <v>557</v>
      </c>
      <c r="Q207" s="277" t="s">
        <v>556</v>
      </c>
      <c r="R207" s="277" t="s">
        <v>689</v>
      </c>
      <c r="S207" s="276">
        <v>0</v>
      </c>
      <c r="T207" s="276">
        <v>0</v>
      </c>
      <c r="U207" s="276">
        <v>0</v>
      </c>
      <c r="V207" s="276">
        <v>0</v>
      </c>
      <c r="W207" s="276">
        <v>0</v>
      </c>
      <c r="X207" s="276">
        <v>0</v>
      </c>
      <c r="Y207" s="276">
        <v>0</v>
      </c>
      <c r="Z207" s="276">
        <v>0</v>
      </c>
      <c r="AA207" s="276">
        <v>0</v>
      </c>
      <c r="AB207" s="276">
        <v>0</v>
      </c>
      <c r="AC207" s="276"/>
      <c r="AD207" s="276">
        <v>0</v>
      </c>
      <c r="AE207" s="276"/>
      <c r="AF207" s="276">
        <v>0</v>
      </c>
      <c r="AG207" s="276">
        <v>0</v>
      </c>
      <c r="AH207" s="283" t="s">
        <v>483</v>
      </c>
      <c r="AJ207" s="281" t="s">
        <v>553</v>
      </c>
      <c r="AK207" s="280" t="s">
        <v>552</v>
      </c>
      <c r="AL207" s="276">
        <v>0.89</v>
      </c>
      <c r="AM207" s="279">
        <v>0</v>
      </c>
      <c r="AN207" s="276">
        <v>0</v>
      </c>
      <c r="AO207" s="276">
        <v>0.89</v>
      </c>
      <c r="AP207" s="279">
        <v>0</v>
      </c>
      <c r="AQ207" s="276">
        <v>0</v>
      </c>
      <c r="AR207" s="276">
        <v>0</v>
      </c>
      <c r="AS207" s="271">
        <v>2</v>
      </c>
      <c r="AT207" s="276">
        <v>0</v>
      </c>
      <c r="AU207" s="279">
        <v>0</v>
      </c>
      <c r="AV207" s="276">
        <v>0</v>
      </c>
      <c r="AW207" s="276">
        <v>0</v>
      </c>
      <c r="AX207" s="279">
        <v>0</v>
      </c>
      <c r="AY207" s="276">
        <v>0</v>
      </c>
      <c r="AZ207" s="276">
        <v>0</v>
      </c>
      <c r="BA207" s="278" t="s">
        <v>551</v>
      </c>
      <c r="BB207" s="276">
        <v>0</v>
      </c>
      <c r="BC207" s="279">
        <v>0</v>
      </c>
      <c r="BD207" s="276">
        <v>0</v>
      </c>
      <c r="BE207" s="276">
        <v>0</v>
      </c>
      <c r="BF207" s="279">
        <v>0</v>
      </c>
      <c r="BG207" s="276">
        <v>0</v>
      </c>
      <c r="BH207" s="276">
        <v>0</v>
      </c>
      <c r="BI207" s="278" t="s">
        <v>550</v>
      </c>
      <c r="BJ207" s="276">
        <v>0</v>
      </c>
      <c r="BK207" s="276">
        <v>0</v>
      </c>
      <c r="BL207" s="276">
        <v>0</v>
      </c>
      <c r="BM207" s="276">
        <v>0</v>
      </c>
      <c r="BN207" s="276">
        <v>0</v>
      </c>
      <c r="BO207" s="276">
        <v>0</v>
      </c>
      <c r="BP207" s="276">
        <v>0</v>
      </c>
    </row>
    <row r="208" spans="1:68" x14ac:dyDescent="0.35">
      <c r="A208" s="277" t="s">
        <v>563</v>
      </c>
      <c r="B208" s="277" t="s">
        <v>562</v>
      </c>
      <c r="C208" s="283" t="s">
        <v>772</v>
      </c>
      <c r="D208" s="277" t="s">
        <v>560</v>
      </c>
      <c r="F208" s="277" t="s">
        <v>771</v>
      </c>
      <c r="K208" s="277" t="s">
        <v>689</v>
      </c>
      <c r="L208" s="277" t="s">
        <v>557</v>
      </c>
      <c r="N208" s="277" t="s">
        <v>690</v>
      </c>
      <c r="O208" s="277" t="s">
        <v>689</v>
      </c>
      <c r="P208" s="277" t="s">
        <v>557</v>
      </c>
      <c r="Q208" s="277" t="s">
        <v>556</v>
      </c>
      <c r="R208" s="277" t="s">
        <v>689</v>
      </c>
      <c r="S208" s="276">
        <v>0</v>
      </c>
      <c r="T208" s="276">
        <v>0</v>
      </c>
      <c r="U208" s="276">
        <v>0</v>
      </c>
      <c r="V208" s="276">
        <v>0</v>
      </c>
      <c r="W208" s="276">
        <v>0</v>
      </c>
      <c r="X208" s="276">
        <v>0</v>
      </c>
      <c r="Y208" s="276">
        <v>0</v>
      </c>
      <c r="Z208" s="276">
        <v>0</v>
      </c>
      <c r="AA208" s="276">
        <v>0</v>
      </c>
      <c r="AB208" s="276">
        <v>0</v>
      </c>
      <c r="AC208" s="276"/>
      <c r="AD208" s="276">
        <v>0</v>
      </c>
      <c r="AE208" s="276"/>
      <c r="AF208" s="276">
        <v>0</v>
      </c>
      <c r="AG208" s="276">
        <v>0</v>
      </c>
      <c r="AH208" s="283" t="s">
        <v>483</v>
      </c>
      <c r="AJ208" s="281" t="s">
        <v>553</v>
      </c>
      <c r="AK208" s="280" t="s">
        <v>552</v>
      </c>
      <c r="AL208" s="276">
        <v>1.25</v>
      </c>
      <c r="AM208" s="279">
        <v>0</v>
      </c>
      <c r="AN208" s="276">
        <v>0</v>
      </c>
      <c r="AO208" s="276">
        <v>1.25</v>
      </c>
      <c r="AP208" s="279">
        <v>0</v>
      </c>
      <c r="AQ208" s="276">
        <v>0</v>
      </c>
      <c r="AR208" s="276">
        <v>0</v>
      </c>
      <c r="AS208" s="271">
        <v>2</v>
      </c>
      <c r="AT208" s="276">
        <v>0</v>
      </c>
      <c r="AU208" s="279">
        <v>0</v>
      </c>
      <c r="AV208" s="276">
        <v>0</v>
      </c>
      <c r="AW208" s="276">
        <v>0</v>
      </c>
      <c r="AX208" s="279">
        <v>0</v>
      </c>
      <c r="AY208" s="276">
        <v>0</v>
      </c>
      <c r="AZ208" s="276">
        <v>0</v>
      </c>
      <c r="BA208" s="278" t="s">
        <v>551</v>
      </c>
      <c r="BB208" s="276">
        <v>0</v>
      </c>
      <c r="BC208" s="279">
        <v>0</v>
      </c>
      <c r="BD208" s="276">
        <v>0</v>
      </c>
      <c r="BE208" s="276">
        <v>0</v>
      </c>
      <c r="BF208" s="279">
        <v>0</v>
      </c>
      <c r="BG208" s="276">
        <v>0</v>
      </c>
      <c r="BH208" s="276">
        <v>0</v>
      </c>
      <c r="BI208" s="278" t="s">
        <v>550</v>
      </c>
      <c r="BJ208" s="276">
        <v>0</v>
      </c>
      <c r="BK208" s="276">
        <v>0</v>
      </c>
      <c r="BL208" s="276">
        <v>0</v>
      </c>
      <c r="BM208" s="276">
        <v>0</v>
      </c>
      <c r="BN208" s="276">
        <v>0</v>
      </c>
      <c r="BO208" s="276">
        <v>0</v>
      </c>
      <c r="BP208" s="276">
        <v>0</v>
      </c>
    </row>
    <row r="209" spans="1:68" x14ac:dyDescent="0.35">
      <c r="A209" s="277" t="s">
        <v>563</v>
      </c>
      <c r="B209" s="277" t="s">
        <v>562</v>
      </c>
      <c r="C209" s="283" t="s">
        <v>770</v>
      </c>
      <c r="D209" s="277" t="s">
        <v>560</v>
      </c>
      <c r="F209" s="277" t="s">
        <v>769</v>
      </c>
      <c r="K209" s="277" t="s">
        <v>689</v>
      </c>
      <c r="L209" s="277" t="s">
        <v>557</v>
      </c>
      <c r="N209" s="277" t="s">
        <v>690</v>
      </c>
      <c r="O209" s="277" t="s">
        <v>689</v>
      </c>
      <c r="P209" s="277" t="s">
        <v>557</v>
      </c>
      <c r="Q209" s="277" t="s">
        <v>556</v>
      </c>
      <c r="R209" s="277" t="s">
        <v>689</v>
      </c>
      <c r="S209" s="276">
        <v>0</v>
      </c>
      <c r="T209" s="276">
        <v>0</v>
      </c>
      <c r="U209" s="276">
        <v>0</v>
      </c>
      <c r="V209" s="276">
        <v>0</v>
      </c>
      <c r="W209" s="276">
        <v>0</v>
      </c>
      <c r="X209" s="276">
        <v>0</v>
      </c>
      <c r="Y209" s="276">
        <v>0</v>
      </c>
      <c r="Z209" s="276">
        <v>0</v>
      </c>
      <c r="AA209" s="276">
        <v>0</v>
      </c>
      <c r="AB209" s="276">
        <v>0</v>
      </c>
      <c r="AC209" s="276"/>
      <c r="AD209" s="276">
        <v>0</v>
      </c>
      <c r="AE209" s="276"/>
      <c r="AF209" s="276">
        <v>0</v>
      </c>
      <c r="AG209" s="276">
        <v>0</v>
      </c>
      <c r="AH209" s="283" t="s">
        <v>483</v>
      </c>
      <c r="AJ209" s="281" t="s">
        <v>553</v>
      </c>
      <c r="AK209" s="280" t="s">
        <v>552</v>
      </c>
      <c r="AL209" s="276">
        <v>0.95</v>
      </c>
      <c r="AM209" s="279">
        <v>0</v>
      </c>
      <c r="AN209" s="276">
        <v>0</v>
      </c>
      <c r="AO209" s="276">
        <v>0.95</v>
      </c>
      <c r="AP209" s="279">
        <v>0</v>
      </c>
      <c r="AQ209" s="276">
        <v>0</v>
      </c>
      <c r="AR209" s="276">
        <v>0</v>
      </c>
      <c r="AS209" s="271">
        <v>2</v>
      </c>
      <c r="AT209" s="276">
        <v>0</v>
      </c>
      <c r="AU209" s="279">
        <v>0</v>
      </c>
      <c r="AV209" s="276">
        <v>0</v>
      </c>
      <c r="AW209" s="276">
        <v>0</v>
      </c>
      <c r="AX209" s="279">
        <v>0</v>
      </c>
      <c r="AY209" s="276">
        <v>0</v>
      </c>
      <c r="AZ209" s="276">
        <v>0</v>
      </c>
      <c r="BA209" s="278" t="s">
        <v>551</v>
      </c>
      <c r="BB209" s="276">
        <v>0</v>
      </c>
      <c r="BC209" s="279">
        <v>0</v>
      </c>
      <c r="BD209" s="276">
        <v>0</v>
      </c>
      <c r="BE209" s="276">
        <v>0</v>
      </c>
      <c r="BF209" s="279">
        <v>0</v>
      </c>
      <c r="BG209" s="276">
        <v>0</v>
      </c>
      <c r="BH209" s="276">
        <v>0</v>
      </c>
      <c r="BI209" s="278" t="s">
        <v>550</v>
      </c>
      <c r="BJ209" s="276">
        <v>0</v>
      </c>
      <c r="BK209" s="276">
        <v>0</v>
      </c>
      <c r="BL209" s="276">
        <v>0</v>
      </c>
      <c r="BM209" s="276">
        <v>0</v>
      </c>
      <c r="BN209" s="276">
        <v>0</v>
      </c>
      <c r="BO209" s="276">
        <v>0</v>
      </c>
      <c r="BP209" s="276">
        <v>0</v>
      </c>
    </row>
    <row r="210" spans="1:68" x14ac:dyDescent="0.35">
      <c r="A210" s="277" t="s">
        <v>563</v>
      </c>
      <c r="B210" s="277" t="s">
        <v>562</v>
      </c>
      <c r="C210" s="283" t="s">
        <v>768</v>
      </c>
      <c r="D210" s="277" t="s">
        <v>560</v>
      </c>
      <c r="F210" s="277" t="s">
        <v>767</v>
      </c>
      <c r="K210" s="277" t="s">
        <v>689</v>
      </c>
      <c r="L210" s="277" t="s">
        <v>557</v>
      </c>
      <c r="N210" s="277" t="s">
        <v>690</v>
      </c>
      <c r="O210" s="277" t="s">
        <v>689</v>
      </c>
      <c r="P210" s="277" t="s">
        <v>557</v>
      </c>
      <c r="Q210" s="277" t="s">
        <v>556</v>
      </c>
      <c r="R210" s="277" t="s">
        <v>689</v>
      </c>
      <c r="S210" s="276">
        <v>0</v>
      </c>
      <c r="T210" s="276">
        <v>0</v>
      </c>
      <c r="U210" s="276">
        <v>0</v>
      </c>
      <c r="V210" s="276">
        <v>0</v>
      </c>
      <c r="W210" s="276">
        <v>0</v>
      </c>
      <c r="X210" s="276">
        <v>0</v>
      </c>
      <c r="Y210" s="276">
        <v>0</v>
      </c>
      <c r="Z210" s="276">
        <v>0</v>
      </c>
      <c r="AA210" s="276">
        <v>0</v>
      </c>
      <c r="AB210" s="276">
        <v>0</v>
      </c>
      <c r="AC210" s="276"/>
      <c r="AD210" s="276">
        <v>0</v>
      </c>
      <c r="AE210" s="276"/>
      <c r="AF210" s="276">
        <v>0</v>
      </c>
      <c r="AG210" s="276">
        <v>0</v>
      </c>
      <c r="AH210" s="283" t="s">
        <v>86</v>
      </c>
      <c r="AI210" s="282" t="s">
        <v>764</v>
      </c>
      <c r="AJ210" s="281" t="s">
        <v>553</v>
      </c>
      <c r="AK210" s="280" t="s">
        <v>552</v>
      </c>
      <c r="AL210" s="276">
        <v>1.2</v>
      </c>
      <c r="AM210" s="279">
        <v>0</v>
      </c>
      <c r="AN210" s="276">
        <v>0</v>
      </c>
      <c r="AO210" s="276">
        <v>1.2</v>
      </c>
      <c r="AP210" s="279">
        <v>0</v>
      </c>
      <c r="AQ210" s="276">
        <v>0</v>
      </c>
      <c r="AR210" s="276">
        <v>0</v>
      </c>
      <c r="AS210" s="271">
        <v>2</v>
      </c>
      <c r="AT210" s="276">
        <v>0</v>
      </c>
      <c r="AU210" s="279">
        <v>0</v>
      </c>
      <c r="AV210" s="276">
        <v>0</v>
      </c>
      <c r="AW210" s="276">
        <v>0</v>
      </c>
      <c r="AX210" s="279">
        <v>0</v>
      </c>
      <c r="AY210" s="276">
        <v>0</v>
      </c>
      <c r="AZ210" s="276">
        <v>0</v>
      </c>
      <c r="BA210" s="278" t="s">
        <v>551</v>
      </c>
      <c r="BB210" s="276">
        <v>0</v>
      </c>
      <c r="BC210" s="279">
        <v>0</v>
      </c>
      <c r="BD210" s="276">
        <v>0</v>
      </c>
      <c r="BE210" s="276">
        <v>0</v>
      </c>
      <c r="BF210" s="279">
        <v>0</v>
      </c>
      <c r="BG210" s="276">
        <v>0</v>
      </c>
      <c r="BH210" s="276">
        <v>0</v>
      </c>
      <c r="BI210" s="278" t="s">
        <v>550</v>
      </c>
      <c r="BJ210" s="276">
        <v>0</v>
      </c>
      <c r="BK210" s="276">
        <v>0</v>
      </c>
      <c r="BL210" s="276">
        <v>0</v>
      </c>
      <c r="BM210" s="276">
        <v>0</v>
      </c>
      <c r="BN210" s="276">
        <v>0</v>
      </c>
      <c r="BO210" s="276">
        <v>0</v>
      </c>
      <c r="BP210" s="276">
        <v>0</v>
      </c>
    </row>
    <row r="211" spans="1:68" x14ac:dyDescent="0.35">
      <c r="A211" s="277" t="s">
        <v>563</v>
      </c>
      <c r="B211" s="277" t="s">
        <v>562</v>
      </c>
      <c r="C211" s="283" t="s">
        <v>766</v>
      </c>
      <c r="D211" s="277" t="s">
        <v>560</v>
      </c>
      <c r="F211" s="277" t="s">
        <v>765</v>
      </c>
      <c r="K211" s="277" t="s">
        <v>689</v>
      </c>
      <c r="L211" s="277" t="s">
        <v>557</v>
      </c>
      <c r="N211" s="277" t="s">
        <v>690</v>
      </c>
      <c r="O211" s="277" t="s">
        <v>689</v>
      </c>
      <c r="P211" s="277" t="s">
        <v>557</v>
      </c>
      <c r="Q211" s="277" t="s">
        <v>556</v>
      </c>
      <c r="R211" s="277" t="s">
        <v>689</v>
      </c>
      <c r="S211" s="276">
        <v>0</v>
      </c>
      <c r="T211" s="276">
        <v>0</v>
      </c>
      <c r="U211" s="276">
        <v>0</v>
      </c>
      <c r="V211" s="276">
        <v>0</v>
      </c>
      <c r="W211" s="276">
        <v>0</v>
      </c>
      <c r="X211" s="276">
        <v>0</v>
      </c>
      <c r="Y211" s="276">
        <v>0</v>
      </c>
      <c r="Z211" s="276">
        <v>0</v>
      </c>
      <c r="AA211" s="276">
        <v>0</v>
      </c>
      <c r="AB211" s="276">
        <v>0</v>
      </c>
      <c r="AC211" s="276"/>
      <c r="AD211" s="276">
        <v>0</v>
      </c>
      <c r="AE211" s="276"/>
      <c r="AF211" s="276">
        <v>0</v>
      </c>
      <c r="AG211" s="276">
        <v>0</v>
      </c>
      <c r="AH211" s="283" t="s">
        <v>86</v>
      </c>
      <c r="AI211" s="282" t="s">
        <v>761</v>
      </c>
      <c r="AJ211" s="281" t="s">
        <v>553</v>
      </c>
      <c r="AK211" s="280" t="s">
        <v>552</v>
      </c>
      <c r="AL211" s="276">
        <v>1.19</v>
      </c>
      <c r="AM211" s="279">
        <v>0</v>
      </c>
      <c r="AN211" s="276">
        <v>0</v>
      </c>
      <c r="AO211" s="276">
        <v>1.19</v>
      </c>
      <c r="AP211" s="279">
        <v>0</v>
      </c>
      <c r="AQ211" s="276">
        <v>0</v>
      </c>
      <c r="AR211" s="276">
        <v>0</v>
      </c>
      <c r="AS211" s="271">
        <v>2</v>
      </c>
      <c r="AT211" s="276">
        <v>0</v>
      </c>
      <c r="AU211" s="279">
        <v>0</v>
      </c>
      <c r="AV211" s="276">
        <v>0</v>
      </c>
      <c r="AW211" s="276">
        <v>0</v>
      </c>
      <c r="AX211" s="279">
        <v>0</v>
      </c>
      <c r="AY211" s="276">
        <v>0</v>
      </c>
      <c r="AZ211" s="276">
        <v>0</v>
      </c>
      <c r="BA211" s="278" t="s">
        <v>551</v>
      </c>
      <c r="BB211" s="276">
        <v>0</v>
      </c>
      <c r="BC211" s="279">
        <v>0</v>
      </c>
      <c r="BD211" s="276">
        <v>0</v>
      </c>
      <c r="BE211" s="276">
        <v>0</v>
      </c>
      <c r="BF211" s="279">
        <v>0</v>
      </c>
      <c r="BG211" s="276">
        <v>0</v>
      </c>
      <c r="BH211" s="276">
        <v>0</v>
      </c>
      <c r="BI211" s="278" t="s">
        <v>550</v>
      </c>
      <c r="BJ211" s="276">
        <v>0</v>
      </c>
      <c r="BK211" s="276">
        <v>0</v>
      </c>
      <c r="BL211" s="276">
        <v>0</v>
      </c>
      <c r="BM211" s="276">
        <v>0</v>
      </c>
      <c r="BN211" s="276">
        <v>0</v>
      </c>
      <c r="BO211" s="276">
        <v>0</v>
      </c>
      <c r="BP211" s="276">
        <v>0</v>
      </c>
    </row>
    <row r="212" spans="1:68" x14ac:dyDescent="0.35">
      <c r="A212" s="277" t="s">
        <v>563</v>
      </c>
      <c r="B212" s="277" t="s">
        <v>562</v>
      </c>
      <c r="C212" s="283" t="s">
        <v>764</v>
      </c>
      <c r="D212" s="277" t="s">
        <v>560</v>
      </c>
      <c r="F212" s="277" t="s">
        <v>763</v>
      </c>
      <c r="K212" s="277" t="s">
        <v>689</v>
      </c>
      <c r="L212" s="277" t="s">
        <v>557</v>
      </c>
      <c r="N212" s="277" t="s">
        <v>690</v>
      </c>
      <c r="O212" s="277" t="s">
        <v>689</v>
      </c>
      <c r="P212" s="277" t="s">
        <v>557</v>
      </c>
      <c r="Q212" s="277" t="s">
        <v>556</v>
      </c>
      <c r="R212" s="277" t="s">
        <v>689</v>
      </c>
      <c r="S212" s="276">
        <v>0</v>
      </c>
      <c r="T212" s="276">
        <v>0</v>
      </c>
      <c r="U212" s="276">
        <v>0</v>
      </c>
      <c r="V212" s="276">
        <v>0</v>
      </c>
      <c r="W212" s="276">
        <v>0</v>
      </c>
      <c r="X212" s="276">
        <v>0</v>
      </c>
      <c r="Y212" s="276">
        <v>0</v>
      </c>
      <c r="Z212" s="276">
        <v>0</v>
      </c>
      <c r="AA212" s="276">
        <v>0</v>
      </c>
      <c r="AB212" s="276">
        <v>0</v>
      </c>
      <c r="AC212" s="276"/>
      <c r="AD212" s="276">
        <v>0</v>
      </c>
      <c r="AE212" s="276"/>
      <c r="AF212" s="276">
        <v>0</v>
      </c>
      <c r="AG212" s="276">
        <v>0</v>
      </c>
      <c r="AH212" s="283" t="s">
        <v>483</v>
      </c>
      <c r="AJ212" s="281" t="s">
        <v>553</v>
      </c>
      <c r="AK212" s="280" t="s">
        <v>552</v>
      </c>
      <c r="AL212" s="276">
        <v>0.66</v>
      </c>
      <c r="AM212" s="279">
        <v>0</v>
      </c>
      <c r="AN212" s="276">
        <v>0</v>
      </c>
      <c r="AO212" s="276">
        <v>0.66</v>
      </c>
      <c r="AP212" s="279">
        <v>0</v>
      </c>
      <c r="AQ212" s="276">
        <v>0</v>
      </c>
      <c r="AR212" s="276">
        <v>0</v>
      </c>
      <c r="AS212" s="271">
        <v>2</v>
      </c>
      <c r="AT212" s="276">
        <v>0</v>
      </c>
      <c r="AU212" s="279">
        <v>0</v>
      </c>
      <c r="AV212" s="276">
        <v>0</v>
      </c>
      <c r="AW212" s="276">
        <v>0</v>
      </c>
      <c r="AX212" s="279">
        <v>0</v>
      </c>
      <c r="AY212" s="276">
        <v>0</v>
      </c>
      <c r="AZ212" s="276">
        <v>0</v>
      </c>
      <c r="BA212" s="278" t="s">
        <v>551</v>
      </c>
      <c r="BB212" s="276">
        <v>0</v>
      </c>
      <c r="BC212" s="279">
        <v>0</v>
      </c>
      <c r="BD212" s="276">
        <v>0</v>
      </c>
      <c r="BE212" s="276">
        <v>0</v>
      </c>
      <c r="BF212" s="279">
        <v>0</v>
      </c>
      <c r="BG212" s="276">
        <v>0</v>
      </c>
      <c r="BH212" s="276">
        <v>0</v>
      </c>
      <c r="BI212" s="278" t="s">
        <v>550</v>
      </c>
      <c r="BJ212" s="276">
        <v>0</v>
      </c>
      <c r="BK212" s="276">
        <v>0</v>
      </c>
      <c r="BL212" s="276">
        <v>0</v>
      </c>
      <c r="BM212" s="276">
        <v>0</v>
      </c>
      <c r="BN212" s="276">
        <v>0</v>
      </c>
      <c r="BO212" s="276">
        <v>0</v>
      </c>
      <c r="BP212" s="276">
        <v>0</v>
      </c>
    </row>
    <row r="213" spans="1:68" x14ac:dyDescent="0.35">
      <c r="A213" s="277" t="s">
        <v>563</v>
      </c>
      <c r="B213" s="277" t="s">
        <v>562</v>
      </c>
      <c r="C213" s="283" t="s">
        <v>757</v>
      </c>
      <c r="D213" s="277" t="s">
        <v>560</v>
      </c>
      <c r="F213" s="277" t="s">
        <v>762</v>
      </c>
      <c r="K213" s="277" t="s">
        <v>689</v>
      </c>
      <c r="L213" s="277" t="s">
        <v>557</v>
      </c>
      <c r="N213" s="277" t="s">
        <v>690</v>
      </c>
      <c r="O213" s="277" t="s">
        <v>689</v>
      </c>
      <c r="P213" s="277" t="s">
        <v>557</v>
      </c>
      <c r="Q213" s="277" t="s">
        <v>556</v>
      </c>
      <c r="R213" s="277" t="s">
        <v>689</v>
      </c>
      <c r="S213" s="276">
        <v>0</v>
      </c>
      <c r="T213" s="276">
        <v>0</v>
      </c>
      <c r="U213" s="276">
        <v>0</v>
      </c>
      <c r="V213" s="276">
        <v>0</v>
      </c>
      <c r="W213" s="276">
        <v>0</v>
      </c>
      <c r="X213" s="276">
        <v>0</v>
      </c>
      <c r="Y213" s="276">
        <v>0</v>
      </c>
      <c r="Z213" s="276">
        <v>0</v>
      </c>
      <c r="AA213" s="276">
        <v>0</v>
      </c>
      <c r="AB213" s="276">
        <v>0</v>
      </c>
      <c r="AC213" s="276"/>
      <c r="AD213" s="276">
        <v>0</v>
      </c>
      <c r="AE213" s="276"/>
      <c r="AF213" s="276">
        <v>0</v>
      </c>
      <c r="AG213" s="276">
        <v>0</v>
      </c>
      <c r="AH213" s="283" t="s">
        <v>483</v>
      </c>
      <c r="AJ213" s="281" t="s">
        <v>553</v>
      </c>
      <c r="AK213" s="280" t="s">
        <v>552</v>
      </c>
      <c r="AL213" s="276">
        <v>1.35</v>
      </c>
      <c r="AM213" s="279">
        <v>0</v>
      </c>
      <c r="AN213" s="276">
        <v>0</v>
      </c>
      <c r="AO213" s="276">
        <v>1.35</v>
      </c>
      <c r="AP213" s="279">
        <v>0</v>
      </c>
      <c r="AQ213" s="276">
        <v>0</v>
      </c>
      <c r="AR213" s="276">
        <v>0</v>
      </c>
      <c r="AS213" s="271">
        <v>2</v>
      </c>
      <c r="AT213" s="276">
        <v>0</v>
      </c>
      <c r="AU213" s="279">
        <v>0</v>
      </c>
      <c r="AV213" s="276">
        <v>0</v>
      </c>
      <c r="AW213" s="276">
        <v>0</v>
      </c>
      <c r="AX213" s="279">
        <v>0</v>
      </c>
      <c r="AY213" s="276">
        <v>0</v>
      </c>
      <c r="AZ213" s="276">
        <v>0</v>
      </c>
      <c r="BA213" s="278" t="s">
        <v>551</v>
      </c>
      <c r="BB213" s="276">
        <v>0</v>
      </c>
      <c r="BC213" s="279">
        <v>0</v>
      </c>
      <c r="BD213" s="276">
        <v>0</v>
      </c>
      <c r="BE213" s="276">
        <v>0</v>
      </c>
      <c r="BF213" s="279">
        <v>0</v>
      </c>
      <c r="BG213" s="276">
        <v>0</v>
      </c>
      <c r="BH213" s="276">
        <v>0</v>
      </c>
      <c r="BI213" s="278" t="s">
        <v>550</v>
      </c>
      <c r="BJ213" s="276">
        <v>0</v>
      </c>
      <c r="BK213" s="276">
        <v>0</v>
      </c>
      <c r="BL213" s="276">
        <v>0</v>
      </c>
      <c r="BM213" s="276">
        <v>0</v>
      </c>
      <c r="BN213" s="276">
        <v>0</v>
      </c>
      <c r="BO213" s="276">
        <v>0</v>
      </c>
      <c r="BP213" s="276">
        <v>0</v>
      </c>
    </row>
    <row r="214" spans="1:68" x14ac:dyDescent="0.35">
      <c r="A214" s="277" t="s">
        <v>563</v>
      </c>
      <c r="B214" s="277" t="s">
        <v>562</v>
      </c>
      <c r="C214" s="283" t="s">
        <v>761</v>
      </c>
      <c r="D214" s="277" t="s">
        <v>560</v>
      </c>
      <c r="F214" s="277" t="s">
        <v>760</v>
      </c>
      <c r="K214" s="277" t="s">
        <v>689</v>
      </c>
      <c r="L214" s="277" t="s">
        <v>557</v>
      </c>
      <c r="N214" s="277" t="s">
        <v>690</v>
      </c>
      <c r="O214" s="277" t="s">
        <v>689</v>
      </c>
      <c r="P214" s="277" t="s">
        <v>557</v>
      </c>
      <c r="Q214" s="277" t="s">
        <v>556</v>
      </c>
      <c r="R214" s="277" t="s">
        <v>689</v>
      </c>
      <c r="S214" s="276">
        <v>0</v>
      </c>
      <c r="T214" s="276">
        <v>0</v>
      </c>
      <c r="U214" s="276">
        <v>0</v>
      </c>
      <c r="V214" s="276">
        <v>0</v>
      </c>
      <c r="W214" s="276">
        <v>0</v>
      </c>
      <c r="X214" s="276">
        <v>0</v>
      </c>
      <c r="Y214" s="276">
        <v>0</v>
      </c>
      <c r="Z214" s="276">
        <v>0</v>
      </c>
      <c r="AA214" s="276">
        <v>0</v>
      </c>
      <c r="AB214" s="276">
        <v>0</v>
      </c>
      <c r="AC214" s="276"/>
      <c r="AD214" s="276">
        <v>0</v>
      </c>
      <c r="AE214" s="276"/>
      <c r="AF214" s="276">
        <v>0</v>
      </c>
      <c r="AG214" s="276">
        <v>0</v>
      </c>
      <c r="AH214" s="283" t="s">
        <v>483</v>
      </c>
      <c r="AJ214" s="281" t="s">
        <v>553</v>
      </c>
      <c r="AK214" s="280" t="s">
        <v>552</v>
      </c>
      <c r="AL214" s="276">
        <v>0.75</v>
      </c>
      <c r="AM214" s="279">
        <v>0</v>
      </c>
      <c r="AN214" s="276">
        <v>0</v>
      </c>
      <c r="AO214" s="276">
        <v>0.75</v>
      </c>
      <c r="AP214" s="279">
        <v>0</v>
      </c>
      <c r="AQ214" s="276">
        <v>0</v>
      </c>
      <c r="AR214" s="276">
        <v>0</v>
      </c>
      <c r="AS214" s="271">
        <v>2</v>
      </c>
      <c r="AT214" s="276">
        <v>0</v>
      </c>
      <c r="AU214" s="279">
        <v>0</v>
      </c>
      <c r="AV214" s="276">
        <v>0</v>
      </c>
      <c r="AW214" s="276">
        <v>0</v>
      </c>
      <c r="AX214" s="279">
        <v>0</v>
      </c>
      <c r="AY214" s="276">
        <v>0</v>
      </c>
      <c r="AZ214" s="276">
        <v>0</v>
      </c>
      <c r="BA214" s="278" t="s">
        <v>551</v>
      </c>
      <c r="BB214" s="276">
        <v>0</v>
      </c>
      <c r="BC214" s="279">
        <v>0</v>
      </c>
      <c r="BD214" s="276">
        <v>0</v>
      </c>
      <c r="BE214" s="276">
        <v>0</v>
      </c>
      <c r="BF214" s="279">
        <v>0</v>
      </c>
      <c r="BG214" s="276">
        <v>0</v>
      </c>
      <c r="BH214" s="276">
        <v>0</v>
      </c>
      <c r="BI214" s="278" t="s">
        <v>550</v>
      </c>
      <c r="BJ214" s="276">
        <v>0</v>
      </c>
      <c r="BK214" s="276">
        <v>0</v>
      </c>
      <c r="BL214" s="276">
        <v>0</v>
      </c>
      <c r="BM214" s="276">
        <v>0</v>
      </c>
      <c r="BN214" s="276">
        <v>0</v>
      </c>
      <c r="BO214" s="276">
        <v>0</v>
      </c>
      <c r="BP214" s="276">
        <v>0</v>
      </c>
    </row>
    <row r="215" spans="1:68" x14ac:dyDescent="0.35">
      <c r="A215" s="277" t="s">
        <v>563</v>
      </c>
      <c r="B215" s="277" t="s">
        <v>562</v>
      </c>
      <c r="C215" s="283" t="s">
        <v>759</v>
      </c>
      <c r="D215" s="277" t="s">
        <v>560</v>
      </c>
      <c r="F215" s="277" t="s">
        <v>758</v>
      </c>
      <c r="K215" s="277" t="s">
        <v>689</v>
      </c>
      <c r="L215" s="277" t="s">
        <v>557</v>
      </c>
      <c r="N215" s="277" t="s">
        <v>690</v>
      </c>
      <c r="O215" s="277" t="s">
        <v>689</v>
      </c>
      <c r="P215" s="277" t="s">
        <v>557</v>
      </c>
      <c r="Q215" s="277" t="s">
        <v>556</v>
      </c>
      <c r="R215" s="277" t="s">
        <v>689</v>
      </c>
      <c r="S215" s="276">
        <v>0</v>
      </c>
      <c r="T215" s="276">
        <v>0</v>
      </c>
      <c r="U215" s="276">
        <v>0</v>
      </c>
      <c r="V215" s="276">
        <v>0</v>
      </c>
      <c r="W215" s="276">
        <v>0</v>
      </c>
      <c r="X215" s="276">
        <v>0</v>
      </c>
      <c r="Y215" s="276">
        <v>0</v>
      </c>
      <c r="Z215" s="276">
        <v>0</v>
      </c>
      <c r="AA215" s="276">
        <v>0</v>
      </c>
      <c r="AB215" s="276">
        <v>0</v>
      </c>
      <c r="AC215" s="276"/>
      <c r="AD215" s="276">
        <v>0</v>
      </c>
      <c r="AE215" s="276"/>
      <c r="AF215" s="276">
        <v>0</v>
      </c>
      <c r="AG215" s="276">
        <v>0</v>
      </c>
      <c r="AH215" s="283" t="s">
        <v>86</v>
      </c>
      <c r="AI215" s="282" t="s">
        <v>757</v>
      </c>
      <c r="AJ215" s="281" t="s">
        <v>553</v>
      </c>
      <c r="AK215" s="280" t="s">
        <v>552</v>
      </c>
      <c r="AL215" s="276">
        <v>2.4</v>
      </c>
      <c r="AM215" s="279">
        <v>0</v>
      </c>
      <c r="AN215" s="276">
        <v>0</v>
      </c>
      <c r="AO215" s="276">
        <v>2.4</v>
      </c>
      <c r="AP215" s="279">
        <v>0</v>
      </c>
      <c r="AQ215" s="276">
        <v>0</v>
      </c>
      <c r="AR215" s="276">
        <v>0</v>
      </c>
      <c r="AS215" s="271">
        <v>2</v>
      </c>
      <c r="AT215" s="276">
        <v>0</v>
      </c>
      <c r="AU215" s="279">
        <v>0</v>
      </c>
      <c r="AV215" s="276">
        <v>0</v>
      </c>
      <c r="AW215" s="276">
        <v>0</v>
      </c>
      <c r="AX215" s="279">
        <v>0</v>
      </c>
      <c r="AY215" s="276">
        <v>0</v>
      </c>
      <c r="AZ215" s="276">
        <v>0</v>
      </c>
      <c r="BA215" s="278" t="s">
        <v>551</v>
      </c>
      <c r="BB215" s="276">
        <v>0</v>
      </c>
      <c r="BC215" s="279">
        <v>0</v>
      </c>
      <c r="BD215" s="276">
        <v>0</v>
      </c>
      <c r="BE215" s="276">
        <v>0</v>
      </c>
      <c r="BF215" s="279">
        <v>0</v>
      </c>
      <c r="BG215" s="276">
        <v>0</v>
      </c>
      <c r="BH215" s="276">
        <v>0</v>
      </c>
      <c r="BI215" s="278" t="s">
        <v>550</v>
      </c>
      <c r="BJ215" s="276">
        <v>0</v>
      </c>
      <c r="BK215" s="276">
        <v>0</v>
      </c>
      <c r="BL215" s="276">
        <v>0</v>
      </c>
      <c r="BM215" s="276">
        <v>0</v>
      </c>
      <c r="BN215" s="276">
        <v>0</v>
      </c>
      <c r="BO215" s="276">
        <v>0</v>
      </c>
      <c r="BP215" s="276">
        <v>0</v>
      </c>
    </row>
    <row r="216" spans="1:68" x14ac:dyDescent="0.35">
      <c r="A216" s="277" t="s">
        <v>563</v>
      </c>
      <c r="B216" s="277" t="s">
        <v>562</v>
      </c>
      <c r="C216" s="283" t="s">
        <v>756</v>
      </c>
      <c r="D216" s="277" t="s">
        <v>560</v>
      </c>
      <c r="F216" s="277" t="s">
        <v>755</v>
      </c>
      <c r="H216" s="277" t="s">
        <v>144</v>
      </c>
      <c r="K216" s="277" t="s">
        <v>689</v>
      </c>
      <c r="L216" s="277" t="s">
        <v>557</v>
      </c>
      <c r="N216" s="277" t="s">
        <v>690</v>
      </c>
      <c r="O216" s="277" t="s">
        <v>689</v>
      </c>
      <c r="P216" s="277" t="s">
        <v>557</v>
      </c>
      <c r="Q216" s="277" t="s">
        <v>556</v>
      </c>
      <c r="R216" s="277" t="s">
        <v>689</v>
      </c>
      <c r="S216" s="276">
        <v>0</v>
      </c>
      <c r="T216" s="276">
        <v>0</v>
      </c>
      <c r="U216" s="276">
        <v>0</v>
      </c>
      <c r="V216" s="276">
        <v>0</v>
      </c>
      <c r="W216" s="276">
        <v>0</v>
      </c>
      <c r="X216" s="276">
        <v>0</v>
      </c>
      <c r="Y216" s="276">
        <v>0</v>
      </c>
      <c r="Z216" s="276">
        <v>0</v>
      </c>
      <c r="AA216" s="276">
        <v>0</v>
      </c>
      <c r="AB216" s="276">
        <v>0</v>
      </c>
      <c r="AC216" s="276"/>
      <c r="AD216" s="276">
        <v>0</v>
      </c>
      <c r="AE216" s="276"/>
      <c r="AF216" s="276">
        <v>0</v>
      </c>
      <c r="AG216" s="276">
        <v>0</v>
      </c>
      <c r="AH216" s="283" t="s">
        <v>86</v>
      </c>
      <c r="AI216" s="282" t="s">
        <v>754</v>
      </c>
      <c r="AJ216" s="281" t="s">
        <v>553</v>
      </c>
      <c r="AK216" s="280" t="s">
        <v>552</v>
      </c>
      <c r="AL216" s="276">
        <v>0.87</v>
      </c>
      <c r="AM216" s="279">
        <v>50</v>
      </c>
      <c r="AN216" s="276">
        <v>0</v>
      </c>
      <c r="AO216" s="276">
        <v>0.87</v>
      </c>
      <c r="AP216" s="279">
        <v>50</v>
      </c>
      <c r="AQ216" s="276">
        <v>0</v>
      </c>
      <c r="AR216" s="276">
        <v>0</v>
      </c>
      <c r="AS216" s="271">
        <v>2</v>
      </c>
      <c r="AT216" s="276">
        <v>1.0751999999999999</v>
      </c>
      <c r="AU216" s="279">
        <v>300</v>
      </c>
      <c r="AV216" s="276">
        <v>0</v>
      </c>
      <c r="AW216" s="276">
        <v>1.0751999999999999</v>
      </c>
      <c r="AX216" s="279">
        <v>300</v>
      </c>
      <c r="AY216" s="276">
        <v>0</v>
      </c>
      <c r="AZ216" s="276">
        <v>0</v>
      </c>
      <c r="BA216" s="278" t="s">
        <v>551</v>
      </c>
      <c r="BB216" s="276">
        <v>1.2653000000000001</v>
      </c>
      <c r="BC216" s="279">
        <v>250</v>
      </c>
      <c r="BD216" s="276">
        <v>0</v>
      </c>
      <c r="BE216" s="276">
        <v>1.2653000000000001</v>
      </c>
      <c r="BF216" s="279">
        <v>250</v>
      </c>
      <c r="BG216" s="276">
        <v>0</v>
      </c>
      <c r="BH216" s="276">
        <v>0</v>
      </c>
      <c r="BI216" s="278" t="s">
        <v>550</v>
      </c>
      <c r="BJ216" s="276">
        <v>1.55</v>
      </c>
      <c r="BK216" s="276">
        <v>0</v>
      </c>
      <c r="BL216" s="276">
        <v>0</v>
      </c>
      <c r="BM216" s="276">
        <v>1.55</v>
      </c>
      <c r="BN216" s="276">
        <v>0</v>
      </c>
      <c r="BO216" s="276">
        <v>0</v>
      </c>
      <c r="BP216" s="276">
        <v>0</v>
      </c>
    </row>
    <row r="217" spans="1:68" x14ac:dyDescent="0.35">
      <c r="A217" s="277" t="s">
        <v>563</v>
      </c>
      <c r="B217" s="277" t="s">
        <v>562</v>
      </c>
      <c r="C217" s="283" t="s">
        <v>754</v>
      </c>
      <c r="D217" s="277" t="s">
        <v>560</v>
      </c>
      <c r="F217" s="277" t="s">
        <v>753</v>
      </c>
      <c r="H217" s="277" t="s">
        <v>144</v>
      </c>
      <c r="K217" s="277" t="s">
        <v>689</v>
      </c>
      <c r="L217" s="277" t="s">
        <v>557</v>
      </c>
      <c r="N217" s="277" t="s">
        <v>690</v>
      </c>
      <c r="O217" s="277" t="s">
        <v>689</v>
      </c>
      <c r="P217" s="277" t="s">
        <v>557</v>
      </c>
      <c r="Q217" s="277" t="s">
        <v>556</v>
      </c>
      <c r="R217" s="277" t="s">
        <v>689</v>
      </c>
      <c r="S217" s="276">
        <v>0</v>
      </c>
      <c r="T217" s="276">
        <v>0</v>
      </c>
      <c r="U217" s="276">
        <v>0</v>
      </c>
      <c r="V217" s="276">
        <v>0</v>
      </c>
      <c r="W217" s="276">
        <v>0</v>
      </c>
      <c r="X217" s="276">
        <v>0</v>
      </c>
      <c r="Y217" s="276">
        <v>0</v>
      </c>
      <c r="Z217" s="276">
        <v>0</v>
      </c>
      <c r="AA217" s="276">
        <v>0</v>
      </c>
      <c r="AB217" s="276">
        <v>0</v>
      </c>
      <c r="AC217" s="276"/>
      <c r="AD217" s="276">
        <v>0</v>
      </c>
      <c r="AE217" s="276"/>
      <c r="AF217" s="276">
        <v>0</v>
      </c>
      <c r="AG217" s="276">
        <v>0</v>
      </c>
      <c r="AH217" s="283" t="s">
        <v>483</v>
      </c>
      <c r="AJ217" s="281" t="s">
        <v>553</v>
      </c>
      <c r="AK217" s="280" t="s">
        <v>552</v>
      </c>
      <c r="AL217" s="276">
        <v>0.87</v>
      </c>
      <c r="AM217" s="279">
        <v>50</v>
      </c>
      <c r="AN217" s="276">
        <v>0</v>
      </c>
      <c r="AO217" s="276">
        <v>0.87</v>
      </c>
      <c r="AP217" s="279">
        <v>50</v>
      </c>
      <c r="AQ217" s="276">
        <v>0</v>
      </c>
      <c r="AR217" s="276">
        <v>0</v>
      </c>
      <c r="AS217" s="271">
        <v>2</v>
      </c>
      <c r="AT217" s="276">
        <v>1.06</v>
      </c>
      <c r="AU217" s="279">
        <v>300</v>
      </c>
      <c r="AV217" s="276">
        <v>0</v>
      </c>
      <c r="AW217" s="276">
        <v>1.06</v>
      </c>
      <c r="AX217" s="279">
        <v>300</v>
      </c>
      <c r="AY217" s="276">
        <v>0</v>
      </c>
      <c r="AZ217" s="276">
        <v>0</v>
      </c>
      <c r="BA217" s="278" t="s">
        <v>551</v>
      </c>
      <c r="BB217" s="276">
        <v>1.24</v>
      </c>
      <c r="BC217" s="279">
        <v>250</v>
      </c>
      <c r="BD217" s="276">
        <v>0</v>
      </c>
      <c r="BE217" s="276">
        <v>1.24</v>
      </c>
      <c r="BF217" s="279">
        <v>250</v>
      </c>
      <c r="BG217" s="276">
        <v>0</v>
      </c>
      <c r="BH217" s="276">
        <v>0</v>
      </c>
      <c r="BI217" s="278" t="s">
        <v>550</v>
      </c>
      <c r="BJ217" s="276">
        <v>1.45</v>
      </c>
      <c r="BK217" s="276">
        <v>0</v>
      </c>
      <c r="BL217" s="276">
        <v>0</v>
      </c>
      <c r="BM217" s="276">
        <v>1.45</v>
      </c>
      <c r="BN217" s="276">
        <v>0</v>
      </c>
      <c r="BO217" s="276">
        <v>0</v>
      </c>
      <c r="BP217" s="276">
        <v>0</v>
      </c>
    </row>
    <row r="218" spans="1:68" x14ac:dyDescent="0.35">
      <c r="A218" s="277" t="s">
        <v>563</v>
      </c>
      <c r="B218" s="277" t="s">
        <v>562</v>
      </c>
      <c r="C218" s="283" t="s">
        <v>746</v>
      </c>
      <c r="D218" s="277" t="s">
        <v>560</v>
      </c>
      <c r="F218" s="277" t="s">
        <v>752</v>
      </c>
      <c r="K218" s="277" t="s">
        <v>689</v>
      </c>
      <c r="L218" s="277" t="s">
        <v>557</v>
      </c>
      <c r="N218" s="277" t="s">
        <v>690</v>
      </c>
      <c r="O218" s="277" t="s">
        <v>689</v>
      </c>
      <c r="P218" s="277" t="s">
        <v>557</v>
      </c>
      <c r="Q218" s="277" t="s">
        <v>556</v>
      </c>
      <c r="R218" s="277" t="s">
        <v>689</v>
      </c>
      <c r="S218" s="276">
        <v>0</v>
      </c>
      <c r="T218" s="276">
        <v>0</v>
      </c>
      <c r="U218" s="276">
        <v>0</v>
      </c>
      <c r="V218" s="276">
        <v>0</v>
      </c>
      <c r="W218" s="276">
        <v>0</v>
      </c>
      <c r="X218" s="276">
        <v>0</v>
      </c>
      <c r="Y218" s="276">
        <v>0</v>
      </c>
      <c r="Z218" s="276">
        <v>0</v>
      </c>
      <c r="AA218" s="276">
        <v>0</v>
      </c>
      <c r="AB218" s="276">
        <v>0</v>
      </c>
      <c r="AC218" s="276"/>
      <c r="AD218" s="276">
        <v>0</v>
      </c>
      <c r="AE218" s="276"/>
      <c r="AF218" s="276">
        <v>0</v>
      </c>
      <c r="AG218" s="276">
        <v>0</v>
      </c>
      <c r="AH218" s="283" t="s">
        <v>483</v>
      </c>
      <c r="AJ218" s="281" t="s">
        <v>553</v>
      </c>
      <c r="AK218" s="280" t="s">
        <v>552</v>
      </c>
      <c r="AL218" s="276">
        <v>1.1000000000000001</v>
      </c>
      <c r="AM218" s="279">
        <v>0</v>
      </c>
      <c r="AN218" s="276">
        <v>0</v>
      </c>
      <c r="AO218" s="276">
        <v>1.1000000000000001</v>
      </c>
      <c r="AP218" s="279">
        <v>0</v>
      </c>
      <c r="AQ218" s="276">
        <v>0</v>
      </c>
      <c r="AR218" s="276">
        <v>0</v>
      </c>
      <c r="AS218" s="271">
        <v>2</v>
      </c>
      <c r="AT218" s="276">
        <v>0</v>
      </c>
      <c r="AU218" s="279">
        <v>0</v>
      </c>
      <c r="AV218" s="276">
        <v>0</v>
      </c>
      <c r="AW218" s="276">
        <v>0</v>
      </c>
      <c r="AX218" s="279">
        <v>0</v>
      </c>
      <c r="AY218" s="276">
        <v>0</v>
      </c>
      <c r="AZ218" s="276">
        <v>0</v>
      </c>
      <c r="BA218" s="278" t="s">
        <v>551</v>
      </c>
      <c r="BB218" s="276">
        <v>0</v>
      </c>
      <c r="BC218" s="279">
        <v>0</v>
      </c>
      <c r="BD218" s="276">
        <v>0</v>
      </c>
      <c r="BE218" s="276">
        <v>0</v>
      </c>
      <c r="BF218" s="279">
        <v>0</v>
      </c>
      <c r="BG218" s="276">
        <v>0</v>
      </c>
      <c r="BH218" s="276">
        <v>0</v>
      </c>
      <c r="BI218" s="278" t="s">
        <v>550</v>
      </c>
      <c r="BJ218" s="276">
        <v>0</v>
      </c>
      <c r="BK218" s="276">
        <v>0</v>
      </c>
      <c r="BL218" s="276">
        <v>0</v>
      </c>
      <c r="BM218" s="276">
        <v>0</v>
      </c>
      <c r="BN218" s="276">
        <v>0</v>
      </c>
      <c r="BO218" s="276">
        <v>0</v>
      </c>
      <c r="BP218" s="276">
        <v>0</v>
      </c>
    </row>
    <row r="219" spans="1:68" x14ac:dyDescent="0.35">
      <c r="A219" s="277" t="s">
        <v>563</v>
      </c>
      <c r="B219" s="277" t="s">
        <v>562</v>
      </c>
      <c r="C219" s="283" t="s">
        <v>743</v>
      </c>
      <c r="D219" s="277" t="s">
        <v>560</v>
      </c>
      <c r="F219" s="277" t="s">
        <v>751</v>
      </c>
      <c r="K219" s="277" t="s">
        <v>689</v>
      </c>
      <c r="L219" s="277" t="s">
        <v>557</v>
      </c>
      <c r="N219" s="277" t="s">
        <v>690</v>
      </c>
      <c r="O219" s="277" t="s">
        <v>689</v>
      </c>
      <c r="P219" s="277" t="s">
        <v>557</v>
      </c>
      <c r="Q219" s="277" t="s">
        <v>556</v>
      </c>
      <c r="R219" s="277" t="s">
        <v>689</v>
      </c>
      <c r="S219" s="276">
        <v>0</v>
      </c>
      <c r="T219" s="276">
        <v>0</v>
      </c>
      <c r="U219" s="276">
        <v>0</v>
      </c>
      <c r="V219" s="276">
        <v>0</v>
      </c>
      <c r="W219" s="276">
        <v>0</v>
      </c>
      <c r="X219" s="276">
        <v>0</v>
      </c>
      <c r="Y219" s="276">
        <v>0</v>
      </c>
      <c r="Z219" s="276">
        <v>0</v>
      </c>
      <c r="AA219" s="276">
        <v>0</v>
      </c>
      <c r="AB219" s="276">
        <v>0</v>
      </c>
      <c r="AC219" s="276"/>
      <c r="AD219" s="276">
        <v>0</v>
      </c>
      <c r="AE219" s="276"/>
      <c r="AF219" s="276">
        <v>0</v>
      </c>
      <c r="AG219" s="276">
        <v>0</v>
      </c>
      <c r="AH219" s="283" t="s">
        <v>483</v>
      </c>
      <c r="AJ219" s="281" t="s">
        <v>553</v>
      </c>
      <c r="AK219" s="280" t="s">
        <v>552</v>
      </c>
      <c r="AL219" s="276">
        <v>0.67</v>
      </c>
      <c r="AM219" s="279">
        <v>0</v>
      </c>
      <c r="AN219" s="276">
        <v>0</v>
      </c>
      <c r="AO219" s="276">
        <v>0.67</v>
      </c>
      <c r="AP219" s="279">
        <v>0</v>
      </c>
      <c r="AQ219" s="276">
        <v>0</v>
      </c>
      <c r="AR219" s="276">
        <v>0</v>
      </c>
      <c r="AS219" s="271">
        <v>2</v>
      </c>
      <c r="AT219" s="276">
        <v>0</v>
      </c>
      <c r="AU219" s="279">
        <v>0</v>
      </c>
      <c r="AV219" s="276">
        <v>0</v>
      </c>
      <c r="AW219" s="276">
        <v>0</v>
      </c>
      <c r="AX219" s="279">
        <v>0</v>
      </c>
      <c r="AY219" s="276">
        <v>0</v>
      </c>
      <c r="AZ219" s="276">
        <v>0</v>
      </c>
      <c r="BA219" s="278" t="s">
        <v>551</v>
      </c>
      <c r="BB219" s="276">
        <v>0</v>
      </c>
      <c r="BC219" s="279">
        <v>0</v>
      </c>
      <c r="BD219" s="276">
        <v>0</v>
      </c>
      <c r="BE219" s="276">
        <v>0</v>
      </c>
      <c r="BF219" s="279">
        <v>0</v>
      </c>
      <c r="BG219" s="276">
        <v>0</v>
      </c>
      <c r="BH219" s="276">
        <v>0</v>
      </c>
      <c r="BI219" s="278" t="s">
        <v>550</v>
      </c>
      <c r="BJ219" s="276">
        <v>0</v>
      </c>
      <c r="BK219" s="276">
        <v>0</v>
      </c>
      <c r="BL219" s="276">
        <v>0</v>
      </c>
      <c r="BM219" s="276">
        <v>0</v>
      </c>
      <c r="BN219" s="276">
        <v>0</v>
      </c>
      <c r="BO219" s="276">
        <v>0</v>
      </c>
      <c r="BP219" s="276">
        <v>0</v>
      </c>
    </row>
    <row r="220" spans="1:68" x14ac:dyDescent="0.35">
      <c r="A220" s="277" t="s">
        <v>563</v>
      </c>
      <c r="B220" s="277" t="s">
        <v>562</v>
      </c>
      <c r="C220" s="283" t="s">
        <v>750</v>
      </c>
      <c r="D220" s="277" t="s">
        <v>560</v>
      </c>
      <c r="F220" s="277" t="s">
        <v>749</v>
      </c>
      <c r="K220" s="277" t="s">
        <v>689</v>
      </c>
      <c r="L220" s="277" t="s">
        <v>557</v>
      </c>
      <c r="N220" s="277" t="s">
        <v>690</v>
      </c>
      <c r="O220" s="277" t="s">
        <v>689</v>
      </c>
      <c r="P220" s="277" t="s">
        <v>557</v>
      </c>
      <c r="Q220" s="277" t="s">
        <v>556</v>
      </c>
      <c r="R220" s="277" t="s">
        <v>689</v>
      </c>
      <c r="S220" s="276">
        <v>0</v>
      </c>
      <c r="T220" s="276">
        <v>0</v>
      </c>
      <c r="U220" s="276">
        <v>0</v>
      </c>
      <c r="V220" s="276">
        <v>0</v>
      </c>
      <c r="W220" s="276">
        <v>0</v>
      </c>
      <c r="X220" s="276">
        <v>0</v>
      </c>
      <c r="Y220" s="276">
        <v>0</v>
      </c>
      <c r="Z220" s="276">
        <v>0</v>
      </c>
      <c r="AA220" s="276">
        <v>0</v>
      </c>
      <c r="AB220" s="276">
        <v>0</v>
      </c>
      <c r="AC220" s="276"/>
      <c r="AD220" s="276">
        <v>0</v>
      </c>
      <c r="AE220" s="276"/>
      <c r="AF220" s="276">
        <v>0</v>
      </c>
      <c r="AG220" s="276">
        <v>0</v>
      </c>
      <c r="AH220" s="283" t="s">
        <v>86</v>
      </c>
      <c r="AI220" s="282" t="s">
        <v>742</v>
      </c>
      <c r="AJ220" s="281" t="s">
        <v>553</v>
      </c>
      <c r="AK220" s="280" t="s">
        <v>552</v>
      </c>
      <c r="AL220" s="276">
        <v>0.61</v>
      </c>
      <c r="AM220" s="279">
        <v>0</v>
      </c>
      <c r="AN220" s="276">
        <v>0</v>
      </c>
      <c r="AO220" s="276">
        <v>0.61</v>
      </c>
      <c r="AP220" s="279">
        <v>0</v>
      </c>
      <c r="AQ220" s="276">
        <v>0</v>
      </c>
      <c r="AR220" s="276">
        <v>0</v>
      </c>
      <c r="AS220" s="271">
        <v>2</v>
      </c>
      <c r="AT220" s="276">
        <v>0</v>
      </c>
      <c r="AU220" s="279">
        <v>0</v>
      </c>
      <c r="AV220" s="276">
        <v>0</v>
      </c>
      <c r="AW220" s="276">
        <v>0</v>
      </c>
      <c r="AX220" s="279">
        <v>0</v>
      </c>
      <c r="AY220" s="276">
        <v>0</v>
      </c>
      <c r="AZ220" s="276">
        <v>0</v>
      </c>
      <c r="BA220" s="278" t="s">
        <v>551</v>
      </c>
      <c r="BB220" s="276">
        <v>0</v>
      </c>
      <c r="BC220" s="279">
        <v>0</v>
      </c>
      <c r="BD220" s="276">
        <v>0</v>
      </c>
      <c r="BE220" s="276">
        <v>0</v>
      </c>
      <c r="BF220" s="279">
        <v>0</v>
      </c>
      <c r="BG220" s="276">
        <v>0</v>
      </c>
      <c r="BH220" s="276">
        <v>0</v>
      </c>
      <c r="BI220" s="278" t="s">
        <v>550</v>
      </c>
      <c r="BJ220" s="276">
        <v>0</v>
      </c>
      <c r="BK220" s="276">
        <v>0</v>
      </c>
      <c r="BL220" s="276">
        <v>0</v>
      </c>
      <c r="BM220" s="276">
        <v>0</v>
      </c>
      <c r="BN220" s="276">
        <v>0</v>
      </c>
      <c r="BO220" s="276">
        <v>0</v>
      </c>
      <c r="BP220" s="276">
        <v>0</v>
      </c>
    </row>
    <row r="221" spans="1:68" x14ac:dyDescent="0.35">
      <c r="A221" s="277" t="s">
        <v>563</v>
      </c>
      <c r="B221" s="277" t="s">
        <v>562</v>
      </c>
      <c r="C221" s="283" t="s">
        <v>748</v>
      </c>
      <c r="D221" s="277" t="s">
        <v>560</v>
      </c>
      <c r="F221" s="277" t="s">
        <v>747</v>
      </c>
      <c r="K221" s="277" t="s">
        <v>689</v>
      </c>
      <c r="L221" s="277" t="s">
        <v>557</v>
      </c>
      <c r="N221" s="277" t="s">
        <v>690</v>
      </c>
      <c r="O221" s="277" t="s">
        <v>689</v>
      </c>
      <c r="P221" s="277" t="s">
        <v>557</v>
      </c>
      <c r="Q221" s="277" t="s">
        <v>556</v>
      </c>
      <c r="R221" s="277" t="s">
        <v>689</v>
      </c>
      <c r="S221" s="276">
        <v>0</v>
      </c>
      <c r="T221" s="276">
        <v>0</v>
      </c>
      <c r="U221" s="276">
        <v>0</v>
      </c>
      <c r="V221" s="276">
        <v>0</v>
      </c>
      <c r="W221" s="276">
        <v>0</v>
      </c>
      <c r="X221" s="276">
        <v>0</v>
      </c>
      <c r="Y221" s="276">
        <v>0</v>
      </c>
      <c r="Z221" s="276">
        <v>0</v>
      </c>
      <c r="AA221" s="276">
        <v>0</v>
      </c>
      <c r="AB221" s="276">
        <v>0</v>
      </c>
      <c r="AC221" s="276"/>
      <c r="AD221" s="276">
        <v>0</v>
      </c>
      <c r="AE221" s="276"/>
      <c r="AF221" s="276">
        <v>0</v>
      </c>
      <c r="AG221" s="276">
        <v>0</v>
      </c>
      <c r="AH221" s="283" t="s">
        <v>86</v>
      </c>
      <c r="AI221" s="282" t="s">
        <v>746</v>
      </c>
      <c r="AJ221" s="281" t="s">
        <v>553</v>
      </c>
      <c r="AK221" s="280" t="s">
        <v>552</v>
      </c>
      <c r="AL221" s="276">
        <v>2.2200000000000002</v>
      </c>
      <c r="AM221" s="279">
        <v>0</v>
      </c>
      <c r="AN221" s="276">
        <v>0</v>
      </c>
      <c r="AO221" s="276">
        <v>2.2200000000000002</v>
      </c>
      <c r="AP221" s="279">
        <v>0</v>
      </c>
      <c r="AQ221" s="276">
        <v>0</v>
      </c>
      <c r="AR221" s="276">
        <v>0</v>
      </c>
      <c r="AS221" s="271">
        <v>2</v>
      </c>
      <c r="AT221" s="276">
        <v>0</v>
      </c>
      <c r="AU221" s="279">
        <v>0</v>
      </c>
      <c r="AV221" s="276">
        <v>0</v>
      </c>
      <c r="AW221" s="276">
        <v>0</v>
      </c>
      <c r="AX221" s="279">
        <v>0</v>
      </c>
      <c r="AY221" s="276">
        <v>0</v>
      </c>
      <c r="AZ221" s="276">
        <v>0</v>
      </c>
      <c r="BA221" s="278" t="s">
        <v>551</v>
      </c>
      <c r="BB221" s="276">
        <v>0</v>
      </c>
      <c r="BC221" s="279">
        <v>0</v>
      </c>
      <c r="BD221" s="276">
        <v>0</v>
      </c>
      <c r="BE221" s="276">
        <v>0</v>
      </c>
      <c r="BF221" s="279">
        <v>0</v>
      </c>
      <c r="BG221" s="276">
        <v>0</v>
      </c>
      <c r="BH221" s="276">
        <v>0</v>
      </c>
      <c r="BI221" s="278" t="s">
        <v>550</v>
      </c>
      <c r="BJ221" s="276">
        <v>0</v>
      </c>
      <c r="BK221" s="276">
        <v>0</v>
      </c>
      <c r="BL221" s="276">
        <v>0</v>
      </c>
      <c r="BM221" s="276">
        <v>0</v>
      </c>
      <c r="BN221" s="276">
        <v>0</v>
      </c>
      <c r="BO221" s="276">
        <v>0</v>
      </c>
      <c r="BP221" s="276">
        <v>0</v>
      </c>
    </row>
    <row r="222" spans="1:68" x14ac:dyDescent="0.35">
      <c r="A222" s="277" t="s">
        <v>563</v>
      </c>
      <c r="B222" s="277" t="s">
        <v>562</v>
      </c>
      <c r="C222" s="283" t="s">
        <v>745</v>
      </c>
      <c r="D222" s="277" t="s">
        <v>560</v>
      </c>
      <c r="F222" s="277" t="s">
        <v>744</v>
      </c>
      <c r="K222" s="277" t="s">
        <v>689</v>
      </c>
      <c r="L222" s="277" t="s">
        <v>557</v>
      </c>
      <c r="N222" s="277" t="s">
        <v>690</v>
      </c>
      <c r="O222" s="277" t="s">
        <v>689</v>
      </c>
      <c r="P222" s="277" t="s">
        <v>557</v>
      </c>
      <c r="Q222" s="277" t="s">
        <v>556</v>
      </c>
      <c r="R222" s="277" t="s">
        <v>689</v>
      </c>
      <c r="S222" s="276">
        <v>0</v>
      </c>
      <c r="T222" s="276">
        <v>0</v>
      </c>
      <c r="U222" s="276">
        <v>0</v>
      </c>
      <c r="V222" s="276">
        <v>0</v>
      </c>
      <c r="W222" s="276">
        <v>0</v>
      </c>
      <c r="X222" s="276">
        <v>0</v>
      </c>
      <c r="Y222" s="276">
        <v>0</v>
      </c>
      <c r="Z222" s="276">
        <v>0</v>
      </c>
      <c r="AA222" s="276">
        <v>0</v>
      </c>
      <c r="AB222" s="276">
        <v>0</v>
      </c>
      <c r="AC222" s="276"/>
      <c r="AD222" s="276">
        <v>0</v>
      </c>
      <c r="AE222" s="276"/>
      <c r="AF222" s="276">
        <v>0</v>
      </c>
      <c r="AG222" s="276">
        <v>0</v>
      </c>
      <c r="AH222" s="283" t="s">
        <v>86</v>
      </c>
      <c r="AI222" s="282" t="s">
        <v>743</v>
      </c>
      <c r="AJ222" s="281" t="s">
        <v>553</v>
      </c>
      <c r="AK222" s="280" t="s">
        <v>552</v>
      </c>
      <c r="AL222" s="276">
        <v>0.9</v>
      </c>
      <c r="AM222" s="279">
        <v>0</v>
      </c>
      <c r="AN222" s="276">
        <v>0</v>
      </c>
      <c r="AO222" s="276">
        <v>0.9</v>
      </c>
      <c r="AP222" s="279">
        <v>0</v>
      </c>
      <c r="AQ222" s="276">
        <v>0</v>
      </c>
      <c r="AR222" s="276">
        <v>0</v>
      </c>
      <c r="AS222" s="271">
        <v>2</v>
      </c>
      <c r="AT222" s="276">
        <v>0</v>
      </c>
      <c r="AU222" s="279">
        <v>0</v>
      </c>
      <c r="AV222" s="276">
        <v>0</v>
      </c>
      <c r="AW222" s="276">
        <v>0</v>
      </c>
      <c r="AX222" s="279">
        <v>0</v>
      </c>
      <c r="AY222" s="276">
        <v>0</v>
      </c>
      <c r="AZ222" s="276">
        <v>0</v>
      </c>
      <c r="BA222" s="278" t="s">
        <v>551</v>
      </c>
      <c r="BB222" s="276">
        <v>0</v>
      </c>
      <c r="BC222" s="279">
        <v>0</v>
      </c>
      <c r="BD222" s="276">
        <v>0</v>
      </c>
      <c r="BE222" s="276">
        <v>0</v>
      </c>
      <c r="BF222" s="279">
        <v>0</v>
      </c>
      <c r="BG222" s="276">
        <v>0</v>
      </c>
      <c r="BH222" s="276">
        <v>0</v>
      </c>
      <c r="BI222" s="278" t="s">
        <v>550</v>
      </c>
      <c r="BJ222" s="276">
        <v>0</v>
      </c>
      <c r="BK222" s="276">
        <v>0</v>
      </c>
      <c r="BL222" s="276">
        <v>0</v>
      </c>
      <c r="BM222" s="276">
        <v>0</v>
      </c>
      <c r="BN222" s="276">
        <v>0</v>
      </c>
      <c r="BO222" s="276">
        <v>0</v>
      </c>
      <c r="BP222" s="276">
        <v>0</v>
      </c>
    </row>
    <row r="223" spans="1:68" x14ac:dyDescent="0.35">
      <c r="A223" s="277" t="s">
        <v>563</v>
      </c>
      <c r="B223" s="277" t="s">
        <v>562</v>
      </c>
      <c r="C223" s="283" t="s">
        <v>742</v>
      </c>
      <c r="D223" s="277" t="s">
        <v>560</v>
      </c>
      <c r="F223" s="277" t="s">
        <v>741</v>
      </c>
      <c r="K223" s="277" t="s">
        <v>689</v>
      </c>
      <c r="L223" s="277" t="s">
        <v>557</v>
      </c>
      <c r="N223" s="277" t="s">
        <v>690</v>
      </c>
      <c r="O223" s="277" t="s">
        <v>689</v>
      </c>
      <c r="P223" s="277" t="s">
        <v>557</v>
      </c>
      <c r="Q223" s="277" t="s">
        <v>556</v>
      </c>
      <c r="R223" s="277" t="s">
        <v>689</v>
      </c>
      <c r="S223" s="276">
        <v>0</v>
      </c>
      <c r="T223" s="276">
        <v>0</v>
      </c>
      <c r="U223" s="276">
        <v>0</v>
      </c>
      <c r="V223" s="276">
        <v>0</v>
      </c>
      <c r="W223" s="276">
        <v>0</v>
      </c>
      <c r="X223" s="276">
        <v>0</v>
      </c>
      <c r="Y223" s="276">
        <v>0</v>
      </c>
      <c r="Z223" s="276">
        <v>0</v>
      </c>
      <c r="AA223" s="276">
        <v>0</v>
      </c>
      <c r="AB223" s="276">
        <v>0</v>
      </c>
      <c r="AC223" s="276"/>
      <c r="AD223" s="276">
        <v>0</v>
      </c>
      <c r="AE223" s="276"/>
      <c r="AF223" s="276">
        <v>0</v>
      </c>
      <c r="AG223" s="276">
        <v>0</v>
      </c>
      <c r="AH223" s="283" t="s">
        <v>483</v>
      </c>
      <c r="AJ223" s="281" t="s">
        <v>553</v>
      </c>
      <c r="AK223" s="280" t="s">
        <v>552</v>
      </c>
      <c r="AL223" s="276">
        <v>0.54</v>
      </c>
      <c r="AM223" s="279">
        <v>0</v>
      </c>
      <c r="AN223" s="276">
        <v>0</v>
      </c>
      <c r="AO223" s="276">
        <v>0.54</v>
      </c>
      <c r="AP223" s="279">
        <v>0</v>
      </c>
      <c r="AQ223" s="276">
        <v>0</v>
      </c>
      <c r="AR223" s="276">
        <v>0</v>
      </c>
      <c r="AS223" s="271">
        <v>2</v>
      </c>
      <c r="AT223" s="276">
        <v>0</v>
      </c>
      <c r="AU223" s="279">
        <v>0</v>
      </c>
      <c r="AV223" s="276">
        <v>0</v>
      </c>
      <c r="AW223" s="276">
        <v>0</v>
      </c>
      <c r="AX223" s="279">
        <v>0</v>
      </c>
      <c r="AY223" s="276">
        <v>0</v>
      </c>
      <c r="AZ223" s="276">
        <v>0</v>
      </c>
      <c r="BA223" s="278" t="s">
        <v>551</v>
      </c>
      <c r="BB223" s="276">
        <v>0</v>
      </c>
      <c r="BC223" s="279">
        <v>0</v>
      </c>
      <c r="BD223" s="276">
        <v>0</v>
      </c>
      <c r="BE223" s="276">
        <v>0</v>
      </c>
      <c r="BF223" s="279">
        <v>0</v>
      </c>
      <c r="BG223" s="276">
        <v>0</v>
      </c>
      <c r="BH223" s="276">
        <v>0</v>
      </c>
      <c r="BI223" s="278" t="s">
        <v>550</v>
      </c>
      <c r="BJ223" s="276">
        <v>0</v>
      </c>
      <c r="BK223" s="276">
        <v>0</v>
      </c>
      <c r="BL223" s="276">
        <v>0</v>
      </c>
      <c r="BM223" s="276">
        <v>0</v>
      </c>
      <c r="BN223" s="276">
        <v>0</v>
      </c>
      <c r="BO223" s="276">
        <v>0</v>
      </c>
      <c r="BP223" s="276">
        <v>0</v>
      </c>
    </row>
    <row r="224" spans="1:68" x14ac:dyDescent="0.35">
      <c r="A224" s="277" t="s">
        <v>563</v>
      </c>
      <c r="B224" s="277" t="s">
        <v>562</v>
      </c>
      <c r="C224" s="283" t="s">
        <v>740</v>
      </c>
      <c r="D224" s="277" t="s">
        <v>560</v>
      </c>
      <c r="F224" s="277" t="s">
        <v>739</v>
      </c>
      <c r="K224" s="277" t="s">
        <v>689</v>
      </c>
      <c r="L224" s="277" t="s">
        <v>557</v>
      </c>
      <c r="N224" s="277" t="s">
        <v>690</v>
      </c>
      <c r="O224" s="277" t="s">
        <v>689</v>
      </c>
      <c r="P224" s="277" t="s">
        <v>557</v>
      </c>
      <c r="Q224" s="277" t="s">
        <v>556</v>
      </c>
      <c r="R224" s="277" t="s">
        <v>689</v>
      </c>
      <c r="S224" s="276">
        <v>1512</v>
      </c>
      <c r="T224" s="276">
        <v>0</v>
      </c>
      <c r="U224" s="276">
        <v>0</v>
      </c>
      <c r="V224" s="276">
        <v>0</v>
      </c>
      <c r="W224" s="276">
        <v>0</v>
      </c>
      <c r="X224" s="276">
        <v>0</v>
      </c>
      <c r="Y224" s="276">
        <v>0</v>
      </c>
      <c r="Z224" s="276">
        <v>0</v>
      </c>
      <c r="AA224" s="276">
        <v>0</v>
      </c>
      <c r="AB224" s="276">
        <v>0</v>
      </c>
      <c r="AC224" s="276"/>
      <c r="AD224" s="276">
        <v>0</v>
      </c>
      <c r="AE224" s="276"/>
      <c r="AF224" s="276">
        <v>0</v>
      </c>
      <c r="AG224" s="276">
        <v>0</v>
      </c>
      <c r="AH224" s="283" t="s">
        <v>483</v>
      </c>
      <c r="AJ224" s="281" t="s">
        <v>553</v>
      </c>
      <c r="AK224" s="280" t="s">
        <v>552</v>
      </c>
      <c r="AL224" s="276">
        <v>0</v>
      </c>
      <c r="AM224" s="279">
        <v>0</v>
      </c>
      <c r="AN224" s="276">
        <v>36</v>
      </c>
      <c r="AO224" s="276">
        <v>0</v>
      </c>
      <c r="AP224" s="279">
        <v>0</v>
      </c>
      <c r="AQ224" s="276">
        <v>0</v>
      </c>
      <c r="AR224" s="276">
        <v>0</v>
      </c>
      <c r="AS224" s="271">
        <v>2</v>
      </c>
      <c r="AT224" s="276">
        <v>0</v>
      </c>
      <c r="AU224" s="279">
        <v>0</v>
      </c>
      <c r="AV224" s="276">
        <v>0</v>
      </c>
      <c r="AW224" s="276">
        <v>0</v>
      </c>
      <c r="AX224" s="279">
        <v>0</v>
      </c>
      <c r="AY224" s="276">
        <v>0</v>
      </c>
      <c r="AZ224" s="276">
        <v>0</v>
      </c>
      <c r="BA224" s="278" t="s">
        <v>551</v>
      </c>
      <c r="BB224" s="276">
        <v>0</v>
      </c>
      <c r="BC224" s="279">
        <v>0</v>
      </c>
      <c r="BD224" s="276">
        <v>0</v>
      </c>
      <c r="BE224" s="276">
        <v>0</v>
      </c>
      <c r="BF224" s="279">
        <v>0</v>
      </c>
      <c r="BG224" s="276">
        <v>0</v>
      </c>
      <c r="BH224" s="276">
        <v>0</v>
      </c>
      <c r="BI224" s="278" t="s">
        <v>550</v>
      </c>
      <c r="BJ224" s="276">
        <v>0</v>
      </c>
      <c r="BK224" s="276">
        <v>0</v>
      </c>
      <c r="BL224" s="276">
        <v>0</v>
      </c>
      <c r="BM224" s="276">
        <v>0</v>
      </c>
      <c r="BN224" s="276">
        <v>0</v>
      </c>
      <c r="BO224" s="276">
        <v>0</v>
      </c>
      <c r="BP224" s="276">
        <v>0</v>
      </c>
    </row>
    <row r="225" spans="1:68" x14ac:dyDescent="0.35">
      <c r="A225" s="277" t="s">
        <v>563</v>
      </c>
      <c r="B225" s="277" t="s">
        <v>562</v>
      </c>
      <c r="C225" s="283" t="s">
        <v>738</v>
      </c>
      <c r="D225" s="277" t="s">
        <v>560</v>
      </c>
      <c r="F225" s="277" t="s">
        <v>737</v>
      </c>
      <c r="K225" s="277" t="s">
        <v>689</v>
      </c>
      <c r="L225" s="277" t="s">
        <v>557</v>
      </c>
      <c r="N225" s="277" t="s">
        <v>690</v>
      </c>
      <c r="O225" s="277" t="s">
        <v>689</v>
      </c>
      <c r="P225" s="277" t="s">
        <v>557</v>
      </c>
      <c r="Q225" s="277" t="s">
        <v>556</v>
      </c>
      <c r="R225" s="277" t="s">
        <v>689</v>
      </c>
      <c r="S225" s="276">
        <v>0</v>
      </c>
      <c r="T225" s="276">
        <v>0</v>
      </c>
      <c r="U225" s="276">
        <v>0</v>
      </c>
      <c r="V225" s="276">
        <v>0</v>
      </c>
      <c r="W225" s="276">
        <v>0</v>
      </c>
      <c r="X225" s="276">
        <v>0</v>
      </c>
      <c r="Y225" s="276">
        <v>0</v>
      </c>
      <c r="Z225" s="276">
        <v>0</v>
      </c>
      <c r="AA225" s="276">
        <v>0</v>
      </c>
      <c r="AB225" s="276">
        <v>0</v>
      </c>
      <c r="AC225" s="276"/>
      <c r="AD225" s="276">
        <v>0</v>
      </c>
      <c r="AE225" s="276"/>
      <c r="AF225" s="276">
        <v>0</v>
      </c>
      <c r="AG225" s="276">
        <v>0</v>
      </c>
      <c r="AH225" s="283" t="s">
        <v>86</v>
      </c>
      <c r="AI225" s="282" t="s">
        <v>732</v>
      </c>
      <c r="AJ225" s="281" t="s">
        <v>553</v>
      </c>
      <c r="AK225" s="280" t="s">
        <v>552</v>
      </c>
      <c r="AL225" s="276">
        <v>0.64</v>
      </c>
      <c r="AM225" s="279">
        <v>0</v>
      </c>
      <c r="AN225" s="276">
        <v>0</v>
      </c>
      <c r="AO225" s="276">
        <v>0.64</v>
      </c>
      <c r="AP225" s="279">
        <v>0</v>
      </c>
      <c r="AQ225" s="276">
        <v>0</v>
      </c>
      <c r="AR225" s="276">
        <v>0</v>
      </c>
      <c r="AS225" s="271">
        <v>2</v>
      </c>
      <c r="AT225" s="276">
        <v>0</v>
      </c>
      <c r="AU225" s="279">
        <v>0</v>
      </c>
      <c r="AV225" s="276">
        <v>0</v>
      </c>
      <c r="AW225" s="276">
        <v>0</v>
      </c>
      <c r="AX225" s="279">
        <v>0</v>
      </c>
      <c r="AY225" s="276">
        <v>0</v>
      </c>
      <c r="AZ225" s="276">
        <v>0</v>
      </c>
      <c r="BA225" s="278" t="s">
        <v>551</v>
      </c>
      <c r="BB225" s="276">
        <v>0</v>
      </c>
      <c r="BC225" s="279">
        <v>0</v>
      </c>
      <c r="BD225" s="276">
        <v>0</v>
      </c>
      <c r="BE225" s="276">
        <v>0</v>
      </c>
      <c r="BF225" s="279">
        <v>0</v>
      </c>
      <c r="BG225" s="276">
        <v>0</v>
      </c>
      <c r="BH225" s="276">
        <v>0</v>
      </c>
      <c r="BI225" s="278" t="s">
        <v>550</v>
      </c>
      <c r="BJ225" s="276">
        <v>0</v>
      </c>
      <c r="BK225" s="276">
        <v>0</v>
      </c>
      <c r="BL225" s="276">
        <v>0</v>
      </c>
      <c r="BM225" s="276">
        <v>0</v>
      </c>
      <c r="BN225" s="276">
        <v>0</v>
      </c>
      <c r="BO225" s="276">
        <v>0</v>
      </c>
      <c r="BP225" s="276">
        <v>0</v>
      </c>
    </row>
    <row r="226" spans="1:68" x14ac:dyDescent="0.35">
      <c r="A226" s="277" t="s">
        <v>563</v>
      </c>
      <c r="B226" s="277" t="s">
        <v>562</v>
      </c>
      <c r="C226" s="283" t="s">
        <v>736</v>
      </c>
      <c r="D226" s="277" t="s">
        <v>560</v>
      </c>
      <c r="F226" s="277" t="s">
        <v>735</v>
      </c>
      <c r="K226" s="277" t="s">
        <v>689</v>
      </c>
      <c r="L226" s="277" t="s">
        <v>557</v>
      </c>
      <c r="N226" s="277" t="s">
        <v>690</v>
      </c>
      <c r="O226" s="277" t="s">
        <v>689</v>
      </c>
      <c r="P226" s="277" t="s">
        <v>557</v>
      </c>
      <c r="Q226" s="277" t="s">
        <v>556</v>
      </c>
      <c r="R226" s="277" t="s">
        <v>689</v>
      </c>
      <c r="S226" s="276">
        <v>0</v>
      </c>
      <c r="T226" s="276">
        <v>0</v>
      </c>
      <c r="U226" s="276">
        <v>0</v>
      </c>
      <c r="V226" s="276">
        <v>0</v>
      </c>
      <c r="W226" s="276">
        <v>0</v>
      </c>
      <c r="X226" s="276">
        <v>0</v>
      </c>
      <c r="Y226" s="276">
        <v>0</v>
      </c>
      <c r="Z226" s="276">
        <v>0</v>
      </c>
      <c r="AA226" s="276">
        <v>0</v>
      </c>
      <c r="AB226" s="276">
        <v>0</v>
      </c>
      <c r="AC226" s="276"/>
      <c r="AD226" s="276">
        <v>0</v>
      </c>
      <c r="AE226" s="276"/>
      <c r="AF226" s="276">
        <v>0</v>
      </c>
      <c r="AG226" s="276">
        <v>0</v>
      </c>
      <c r="AH226" s="283" t="s">
        <v>86</v>
      </c>
      <c r="AI226" s="282" t="s">
        <v>730</v>
      </c>
      <c r="AJ226" s="281" t="s">
        <v>553</v>
      </c>
      <c r="AK226" s="280" t="s">
        <v>552</v>
      </c>
      <c r="AL226" s="276">
        <v>2.09</v>
      </c>
      <c r="AM226" s="279">
        <v>0</v>
      </c>
      <c r="AN226" s="276">
        <v>0</v>
      </c>
      <c r="AO226" s="276">
        <v>2.09</v>
      </c>
      <c r="AP226" s="279">
        <v>0</v>
      </c>
      <c r="AQ226" s="276">
        <v>0</v>
      </c>
      <c r="AR226" s="276">
        <v>0</v>
      </c>
      <c r="AS226" s="271">
        <v>2</v>
      </c>
      <c r="AT226" s="276">
        <v>0</v>
      </c>
      <c r="AU226" s="279">
        <v>0</v>
      </c>
      <c r="AV226" s="276">
        <v>0</v>
      </c>
      <c r="AW226" s="276">
        <v>0</v>
      </c>
      <c r="AX226" s="279">
        <v>0</v>
      </c>
      <c r="AY226" s="276">
        <v>0</v>
      </c>
      <c r="AZ226" s="276">
        <v>0</v>
      </c>
      <c r="BA226" s="278" t="s">
        <v>551</v>
      </c>
      <c r="BB226" s="276">
        <v>0</v>
      </c>
      <c r="BC226" s="279">
        <v>0</v>
      </c>
      <c r="BD226" s="276">
        <v>0</v>
      </c>
      <c r="BE226" s="276">
        <v>0</v>
      </c>
      <c r="BF226" s="279">
        <v>0</v>
      </c>
      <c r="BG226" s="276">
        <v>0</v>
      </c>
      <c r="BH226" s="276">
        <v>0</v>
      </c>
      <c r="BI226" s="278" t="s">
        <v>550</v>
      </c>
      <c r="BJ226" s="276">
        <v>0</v>
      </c>
      <c r="BK226" s="276">
        <v>0</v>
      </c>
      <c r="BL226" s="276">
        <v>0</v>
      </c>
      <c r="BM226" s="276">
        <v>0</v>
      </c>
      <c r="BN226" s="276">
        <v>0</v>
      </c>
      <c r="BO226" s="276">
        <v>0</v>
      </c>
      <c r="BP226" s="276">
        <v>0</v>
      </c>
    </row>
    <row r="227" spans="1:68" x14ac:dyDescent="0.35">
      <c r="A227" s="277" t="s">
        <v>563</v>
      </c>
      <c r="B227" s="277" t="s">
        <v>562</v>
      </c>
      <c r="C227" s="283" t="s">
        <v>734</v>
      </c>
      <c r="D227" s="277" t="s">
        <v>560</v>
      </c>
      <c r="F227" s="277" t="s">
        <v>733</v>
      </c>
      <c r="K227" s="277" t="s">
        <v>689</v>
      </c>
      <c r="L227" s="277" t="s">
        <v>557</v>
      </c>
      <c r="N227" s="277" t="s">
        <v>690</v>
      </c>
      <c r="O227" s="277" t="s">
        <v>689</v>
      </c>
      <c r="P227" s="277" t="s">
        <v>557</v>
      </c>
      <c r="Q227" s="277" t="s">
        <v>556</v>
      </c>
      <c r="R227" s="277" t="s">
        <v>689</v>
      </c>
      <c r="S227" s="276">
        <v>0</v>
      </c>
      <c r="T227" s="276">
        <v>0</v>
      </c>
      <c r="U227" s="276">
        <v>0</v>
      </c>
      <c r="V227" s="276">
        <v>0</v>
      </c>
      <c r="W227" s="276">
        <v>0</v>
      </c>
      <c r="X227" s="276">
        <v>0</v>
      </c>
      <c r="Y227" s="276">
        <v>0</v>
      </c>
      <c r="Z227" s="276">
        <v>0</v>
      </c>
      <c r="AA227" s="276">
        <v>0</v>
      </c>
      <c r="AB227" s="276">
        <v>0</v>
      </c>
      <c r="AC227" s="276"/>
      <c r="AD227" s="276">
        <v>0</v>
      </c>
      <c r="AE227" s="276"/>
      <c r="AF227" s="276">
        <v>0</v>
      </c>
      <c r="AG227" s="276">
        <v>0</v>
      </c>
      <c r="AH227" s="283" t="s">
        <v>86</v>
      </c>
      <c r="AI227" s="282" t="s">
        <v>728</v>
      </c>
      <c r="AJ227" s="281" t="s">
        <v>553</v>
      </c>
      <c r="AK227" s="280" t="s">
        <v>552</v>
      </c>
      <c r="AL227" s="276">
        <v>0.95</v>
      </c>
      <c r="AM227" s="279">
        <v>0</v>
      </c>
      <c r="AN227" s="276">
        <v>0</v>
      </c>
      <c r="AO227" s="276">
        <v>0.95</v>
      </c>
      <c r="AP227" s="279">
        <v>0</v>
      </c>
      <c r="AQ227" s="276">
        <v>0</v>
      </c>
      <c r="AR227" s="276">
        <v>0</v>
      </c>
      <c r="AS227" s="271">
        <v>2</v>
      </c>
      <c r="AT227" s="276">
        <v>0</v>
      </c>
      <c r="AU227" s="279">
        <v>0</v>
      </c>
      <c r="AV227" s="276">
        <v>0</v>
      </c>
      <c r="AW227" s="276">
        <v>0</v>
      </c>
      <c r="AX227" s="279">
        <v>0</v>
      </c>
      <c r="AY227" s="276">
        <v>0</v>
      </c>
      <c r="AZ227" s="276">
        <v>0</v>
      </c>
      <c r="BA227" s="278" t="s">
        <v>551</v>
      </c>
      <c r="BB227" s="276">
        <v>0</v>
      </c>
      <c r="BC227" s="279">
        <v>0</v>
      </c>
      <c r="BD227" s="276">
        <v>0</v>
      </c>
      <c r="BE227" s="276">
        <v>0</v>
      </c>
      <c r="BF227" s="279">
        <v>0</v>
      </c>
      <c r="BG227" s="276">
        <v>0</v>
      </c>
      <c r="BH227" s="276">
        <v>0</v>
      </c>
      <c r="BI227" s="278" t="s">
        <v>550</v>
      </c>
      <c r="BJ227" s="276">
        <v>0</v>
      </c>
      <c r="BK227" s="276">
        <v>0</v>
      </c>
      <c r="BL227" s="276">
        <v>0</v>
      </c>
      <c r="BM227" s="276">
        <v>0</v>
      </c>
      <c r="BN227" s="276">
        <v>0</v>
      </c>
      <c r="BO227" s="276">
        <v>0</v>
      </c>
      <c r="BP227" s="276">
        <v>0</v>
      </c>
    </row>
    <row r="228" spans="1:68" x14ac:dyDescent="0.35">
      <c r="A228" s="277" t="s">
        <v>563</v>
      </c>
      <c r="B228" s="277" t="s">
        <v>562</v>
      </c>
      <c r="C228" s="283" t="s">
        <v>732</v>
      </c>
      <c r="D228" s="277" t="s">
        <v>560</v>
      </c>
      <c r="F228" s="277" t="s">
        <v>731</v>
      </c>
      <c r="K228" s="277" t="s">
        <v>689</v>
      </c>
      <c r="L228" s="277" t="s">
        <v>557</v>
      </c>
      <c r="N228" s="277" t="s">
        <v>690</v>
      </c>
      <c r="O228" s="277" t="s">
        <v>689</v>
      </c>
      <c r="P228" s="277" t="s">
        <v>557</v>
      </c>
      <c r="Q228" s="277" t="s">
        <v>556</v>
      </c>
      <c r="R228" s="277" t="s">
        <v>689</v>
      </c>
      <c r="S228" s="276">
        <v>0</v>
      </c>
      <c r="T228" s="276">
        <v>0</v>
      </c>
      <c r="U228" s="276">
        <v>0</v>
      </c>
      <c r="V228" s="276">
        <v>0</v>
      </c>
      <c r="W228" s="276">
        <v>0</v>
      </c>
      <c r="X228" s="276">
        <v>0</v>
      </c>
      <c r="Y228" s="276">
        <v>0</v>
      </c>
      <c r="Z228" s="276">
        <v>0</v>
      </c>
      <c r="AA228" s="276">
        <v>0</v>
      </c>
      <c r="AB228" s="276">
        <v>0</v>
      </c>
      <c r="AC228" s="276"/>
      <c r="AD228" s="276">
        <v>0</v>
      </c>
      <c r="AE228" s="276"/>
      <c r="AF228" s="276">
        <v>0</v>
      </c>
      <c r="AG228" s="276">
        <v>0</v>
      </c>
      <c r="AH228" s="283" t="s">
        <v>483</v>
      </c>
      <c r="AJ228" s="281" t="s">
        <v>553</v>
      </c>
      <c r="AK228" s="280" t="s">
        <v>552</v>
      </c>
      <c r="AL228" s="276">
        <v>0.6</v>
      </c>
      <c r="AM228" s="279">
        <v>0</v>
      </c>
      <c r="AN228" s="276">
        <v>0</v>
      </c>
      <c r="AO228" s="276">
        <v>0.6</v>
      </c>
      <c r="AP228" s="279">
        <v>0</v>
      </c>
      <c r="AQ228" s="276">
        <v>0</v>
      </c>
      <c r="AR228" s="276">
        <v>0</v>
      </c>
      <c r="AS228" s="271">
        <v>2</v>
      </c>
      <c r="AT228" s="276">
        <v>0</v>
      </c>
      <c r="AU228" s="279">
        <v>0</v>
      </c>
      <c r="AV228" s="276">
        <v>0</v>
      </c>
      <c r="AW228" s="276">
        <v>0</v>
      </c>
      <c r="AX228" s="279">
        <v>0</v>
      </c>
      <c r="AY228" s="276">
        <v>0</v>
      </c>
      <c r="AZ228" s="276">
        <v>0</v>
      </c>
      <c r="BA228" s="278" t="s">
        <v>551</v>
      </c>
      <c r="BB228" s="276">
        <v>0</v>
      </c>
      <c r="BC228" s="279">
        <v>0</v>
      </c>
      <c r="BD228" s="276">
        <v>0</v>
      </c>
      <c r="BE228" s="276">
        <v>0</v>
      </c>
      <c r="BF228" s="279">
        <v>0</v>
      </c>
      <c r="BG228" s="276">
        <v>0</v>
      </c>
      <c r="BH228" s="276">
        <v>0</v>
      </c>
      <c r="BI228" s="278" t="s">
        <v>550</v>
      </c>
      <c r="BJ228" s="276">
        <v>0</v>
      </c>
      <c r="BK228" s="276">
        <v>0</v>
      </c>
      <c r="BL228" s="276">
        <v>0</v>
      </c>
      <c r="BM228" s="276">
        <v>0</v>
      </c>
      <c r="BN228" s="276">
        <v>0</v>
      </c>
      <c r="BO228" s="276">
        <v>0</v>
      </c>
      <c r="BP228" s="276">
        <v>0</v>
      </c>
    </row>
    <row r="229" spans="1:68" x14ac:dyDescent="0.35">
      <c r="A229" s="277" t="s">
        <v>563</v>
      </c>
      <c r="B229" s="277" t="s">
        <v>562</v>
      </c>
      <c r="C229" s="283" t="s">
        <v>730</v>
      </c>
      <c r="D229" s="277" t="s">
        <v>560</v>
      </c>
      <c r="F229" s="277" t="s">
        <v>729</v>
      </c>
      <c r="K229" s="277" t="s">
        <v>689</v>
      </c>
      <c r="L229" s="277" t="s">
        <v>557</v>
      </c>
      <c r="N229" s="277" t="s">
        <v>690</v>
      </c>
      <c r="O229" s="277" t="s">
        <v>689</v>
      </c>
      <c r="P229" s="277" t="s">
        <v>557</v>
      </c>
      <c r="Q229" s="277" t="s">
        <v>556</v>
      </c>
      <c r="R229" s="277" t="s">
        <v>689</v>
      </c>
      <c r="S229" s="276">
        <v>0</v>
      </c>
      <c r="T229" s="276">
        <v>0</v>
      </c>
      <c r="U229" s="276">
        <v>0</v>
      </c>
      <c r="V229" s="276">
        <v>0</v>
      </c>
      <c r="W229" s="276">
        <v>0</v>
      </c>
      <c r="X229" s="276">
        <v>0</v>
      </c>
      <c r="Y229" s="276">
        <v>0</v>
      </c>
      <c r="Z229" s="276">
        <v>0</v>
      </c>
      <c r="AA229" s="276">
        <v>0</v>
      </c>
      <c r="AB229" s="276">
        <v>0</v>
      </c>
      <c r="AC229" s="276"/>
      <c r="AD229" s="276">
        <v>0</v>
      </c>
      <c r="AE229" s="276"/>
      <c r="AF229" s="276">
        <v>0</v>
      </c>
      <c r="AG229" s="276">
        <v>0</v>
      </c>
      <c r="AH229" s="283" t="s">
        <v>483</v>
      </c>
      <c r="AJ229" s="281" t="s">
        <v>553</v>
      </c>
      <c r="AK229" s="280" t="s">
        <v>552</v>
      </c>
      <c r="AL229" s="276">
        <v>1.01</v>
      </c>
      <c r="AM229" s="279">
        <v>0</v>
      </c>
      <c r="AN229" s="276">
        <v>0</v>
      </c>
      <c r="AO229" s="276">
        <v>1.01</v>
      </c>
      <c r="AP229" s="279">
        <v>0</v>
      </c>
      <c r="AQ229" s="276">
        <v>0</v>
      </c>
      <c r="AR229" s="276">
        <v>0</v>
      </c>
      <c r="AS229" s="271">
        <v>2</v>
      </c>
      <c r="AT229" s="276">
        <v>0</v>
      </c>
      <c r="AU229" s="279">
        <v>0</v>
      </c>
      <c r="AV229" s="276">
        <v>0</v>
      </c>
      <c r="AW229" s="276">
        <v>0</v>
      </c>
      <c r="AX229" s="279">
        <v>0</v>
      </c>
      <c r="AY229" s="276">
        <v>0</v>
      </c>
      <c r="AZ229" s="276">
        <v>0</v>
      </c>
      <c r="BA229" s="278" t="s">
        <v>551</v>
      </c>
      <c r="BB229" s="276">
        <v>0</v>
      </c>
      <c r="BC229" s="279">
        <v>0</v>
      </c>
      <c r="BD229" s="276">
        <v>0</v>
      </c>
      <c r="BE229" s="276">
        <v>0</v>
      </c>
      <c r="BF229" s="279">
        <v>0</v>
      </c>
      <c r="BG229" s="276">
        <v>0</v>
      </c>
      <c r="BH229" s="276">
        <v>0</v>
      </c>
      <c r="BI229" s="278" t="s">
        <v>550</v>
      </c>
      <c r="BJ229" s="276">
        <v>0</v>
      </c>
      <c r="BK229" s="276">
        <v>0</v>
      </c>
      <c r="BL229" s="276">
        <v>0</v>
      </c>
      <c r="BM229" s="276">
        <v>0</v>
      </c>
      <c r="BN229" s="276">
        <v>0</v>
      </c>
      <c r="BO229" s="276">
        <v>0</v>
      </c>
      <c r="BP229" s="276">
        <v>0</v>
      </c>
    </row>
    <row r="230" spans="1:68" x14ac:dyDescent="0.35">
      <c r="A230" s="277" t="s">
        <v>563</v>
      </c>
      <c r="B230" s="277" t="s">
        <v>562</v>
      </c>
      <c r="C230" s="283" t="s">
        <v>728</v>
      </c>
      <c r="D230" s="277" t="s">
        <v>560</v>
      </c>
      <c r="F230" s="277" t="s">
        <v>727</v>
      </c>
      <c r="K230" s="277" t="s">
        <v>689</v>
      </c>
      <c r="L230" s="277" t="s">
        <v>557</v>
      </c>
      <c r="N230" s="277" t="s">
        <v>690</v>
      </c>
      <c r="O230" s="277" t="s">
        <v>689</v>
      </c>
      <c r="P230" s="277" t="s">
        <v>557</v>
      </c>
      <c r="Q230" s="277" t="s">
        <v>556</v>
      </c>
      <c r="R230" s="277" t="s">
        <v>689</v>
      </c>
      <c r="S230" s="276">
        <v>0</v>
      </c>
      <c r="T230" s="276">
        <v>0</v>
      </c>
      <c r="U230" s="276">
        <v>0</v>
      </c>
      <c r="V230" s="276">
        <v>0</v>
      </c>
      <c r="W230" s="276">
        <v>0</v>
      </c>
      <c r="X230" s="276">
        <v>0</v>
      </c>
      <c r="Y230" s="276">
        <v>0</v>
      </c>
      <c r="Z230" s="276">
        <v>0</v>
      </c>
      <c r="AA230" s="276">
        <v>0</v>
      </c>
      <c r="AB230" s="276">
        <v>0</v>
      </c>
      <c r="AC230" s="276"/>
      <c r="AD230" s="276">
        <v>0</v>
      </c>
      <c r="AE230" s="276"/>
      <c r="AF230" s="276">
        <v>0</v>
      </c>
      <c r="AG230" s="276">
        <v>0</v>
      </c>
      <c r="AH230" s="283" t="s">
        <v>483</v>
      </c>
      <c r="AJ230" s="281" t="s">
        <v>553</v>
      </c>
      <c r="AK230" s="280" t="s">
        <v>552</v>
      </c>
      <c r="AL230" s="276">
        <v>0.68</v>
      </c>
      <c r="AM230" s="279">
        <v>0</v>
      </c>
      <c r="AN230" s="276">
        <v>0</v>
      </c>
      <c r="AO230" s="276">
        <v>0.68</v>
      </c>
      <c r="AP230" s="279">
        <v>0</v>
      </c>
      <c r="AQ230" s="276">
        <v>0</v>
      </c>
      <c r="AR230" s="276">
        <v>0</v>
      </c>
      <c r="AS230" s="271">
        <v>2</v>
      </c>
      <c r="AT230" s="276">
        <v>0</v>
      </c>
      <c r="AU230" s="279">
        <v>0</v>
      </c>
      <c r="AV230" s="276">
        <v>0</v>
      </c>
      <c r="AW230" s="276">
        <v>0</v>
      </c>
      <c r="AX230" s="279">
        <v>0</v>
      </c>
      <c r="AY230" s="276">
        <v>0</v>
      </c>
      <c r="AZ230" s="276">
        <v>0</v>
      </c>
      <c r="BA230" s="278" t="s">
        <v>551</v>
      </c>
      <c r="BB230" s="276">
        <v>0</v>
      </c>
      <c r="BC230" s="279">
        <v>0</v>
      </c>
      <c r="BD230" s="276">
        <v>0</v>
      </c>
      <c r="BE230" s="276">
        <v>0</v>
      </c>
      <c r="BF230" s="279">
        <v>0</v>
      </c>
      <c r="BG230" s="276">
        <v>0</v>
      </c>
      <c r="BH230" s="276">
        <v>0</v>
      </c>
      <c r="BI230" s="278" t="s">
        <v>550</v>
      </c>
      <c r="BJ230" s="276">
        <v>0</v>
      </c>
      <c r="BK230" s="276">
        <v>0</v>
      </c>
      <c r="BL230" s="276">
        <v>0</v>
      </c>
      <c r="BM230" s="276">
        <v>0</v>
      </c>
      <c r="BN230" s="276">
        <v>0</v>
      </c>
      <c r="BO230" s="276">
        <v>0</v>
      </c>
      <c r="BP230" s="276">
        <v>0</v>
      </c>
    </row>
    <row r="231" spans="1:68" x14ac:dyDescent="0.35">
      <c r="A231" s="277" t="s">
        <v>563</v>
      </c>
      <c r="B231" s="277" t="s">
        <v>562</v>
      </c>
      <c r="C231" s="283" t="s">
        <v>726</v>
      </c>
      <c r="D231" s="277" t="s">
        <v>560</v>
      </c>
      <c r="F231" s="277" t="s">
        <v>725</v>
      </c>
      <c r="K231" s="277" t="s">
        <v>689</v>
      </c>
      <c r="L231" s="277" t="s">
        <v>557</v>
      </c>
      <c r="N231" s="277" t="s">
        <v>690</v>
      </c>
      <c r="O231" s="277" t="s">
        <v>689</v>
      </c>
      <c r="P231" s="277" t="s">
        <v>557</v>
      </c>
      <c r="Q231" s="277" t="s">
        <v>556</v>
      </c>
      <c r="R231" s="277" t="s">
        <v>689</v>
      </c>
      <c r="S231" s="276">
        <v>0</v>
      </c>
      <c r="T231" s="276">
        <v>0</v>
      </c>
      <c r="U231" s="276">
        <v>0</v>
      </c>
      <c r="V231" s="276">
        <v>0</v>
      </c>
      <c r="W231" s="276">
        <v>0</v>
      </c>
      <c r="X231" s="276">
        <v>0</v>
      </c>
      <c r="Y231" s="276">
        <v>0</v>
      </c>
      <c r="Z231" s="276">
        <v>0</v>
      </c>
      <c r="AA231" s="276">
        <v>0</v>
      </c>
      <c r="AB231" s="276">
        <v>0</v>
      </c>
      <c r="AC231" s="276"/>
      <c r="AD231" s="276">
        <v>0</v>
      </c>
      <c r="AE231" s="276"/>
      <c r="AF231" s="276">
        <v>0</v>
      </c>
      <c r="AG231" s="276">
        <v>0</v>
      </c>
      <c r="AH231" s="283" t="s">
        <v>483</v>
      </c>
      <c r="AJ231" s="281" t="s">
        <v>553</v>
      </c>
      <c r="AK231" s="280" t="s">
        <v>552</v>
      </c>
      <c r="AL231" s="276">
        <v>0</v>
      </c>
      <c r="AM231" s="279">
        <v>0</v>
      </c>
      <c r="AN231" s="276">
        <v>95</v>
      </c>
      <c r="AO231" s="276">
        <v>0</v>
      </c>
      <c r="AP231" s="279">
        <v>0</v>
      </c>
      <c r="AQ231" s="276">
        <v>0</v>
      </c>
      <c r="AR231" s="276">
        <v>0</v>
      </c>
      <c r="AS231" s="271">
        <v>2</v>
      </c>
      <c r="AT231" s="276">
        <v>0</v>
      </c>
      <c r="AU231" s="279">
        <v>0</v>
      </c>
      <c r="AV231" s="276">
        <v>0</v>
      </c>
      <c r="AW231" s="276">
        <v>0</v>
      </c>
      <c r="AX231" s="279">
        <v>0</v>
      </c>
      <c r="AY231" s="276">
        <v>0</v>
      </c>
      <c r="AZ231" s="276">
        <v>0</v>
      </c>
      <c r="BA231" s="278" t="s">
        <v>551</v>
      </c>
      <c r="BB231" s="276">
        <v>0</v>
      </c>
      <c r="BC231" s="279">
        <v>0</v>
      </c>
      <c r="BD231" s="276">
        <v>0</v>
      </c>
      <c r="BE231" s="276">
        <v>0</v>
      </c>
      <c r="BF231" s="279">
        <v>0</v>
      </c>
      <c r="BG231" s="276">
        <v>0</v>
      </c>
      <c r="BH231" s="276">
        <v>0</v>
      </c>
      <c r="BI231" s="278" t="s">
        <v>550</v>
      </c>
      <c r="BJ231" s="276">
        <v>0</v>
      </c>
      <c r="BK231" s="276">
        <v>0</v>
      </c>
      <c r="BL231" s="276">
        <v>0</v>
      </c>
      <c r="BM231" s="276">
        <v>0</v>
      </c>
      <c r="BN231" s="276">
        <v>0</v>
      </c>
      <c r="BO231" s="276">
        <v>0</v>
      </c>
      <c r="BP231" s="276">
        <v>0</v>
      </c>
    </row>
    <row r="232" spans="1:68" x14ac:dyDescent="0.35">
      <c r="A232" s="277" t="s">
        <v>563</v>
      </c>
      <c r="B232" s="277" t="s">
        <v>562</v>
      </c>
      <c r="C232" s="283" t="s">
        <v>724</v>
      </c>
      <c r="D232" s="277" t="s">
        <v>560</v>
      </c>
      <c r="F232" s="277" t="s">
        <v>723</v>
      </c>
      <c r="K232" s="277" t="s">
        <v>689</v>
      </c>
      <c r="L232" s="277" t="s">
        <v>557</v>
      </c>
      <c r="N232" s="277" t="s">
        <v>690</v>
      </c>
      <c r="O232" s="277" t="s">
        <v>689</v>
      </c>
      <c r="P232" s="277" t="s">
        <v>557</v>
      </c>
      <c r="Q232" s="277" t="s">
        <v>556</v>
      </c>
      <c r="R232" s="277" t="s">
        <v>689</v>
      </c>
      <c r="S232" s="276">
        <v>1134</v>
      </c>
      <c r="T232" s="276">
        <v>0</v>
      </c>
      <c r="U232" s="276">
        <v>0</v>
      </c>
      <c r="V232" s="276">
        <v>0</v>
      </c>
      <c r="W232" s="276">
        <v>0</v>
      </c>
      <c r="X232" s="276">
        <v>0</v>
      </c>
      <c r="Y232" s="276">
        <v>0</v>
      </c>
      <c r="Z232" s="276">
        <v>0</v>
      </c>
      <c r="AA232" s="276">
        <v>0</v>
      </c>
      <c r="AB232" s="276">
        <v>0</v>
      </c>
      <c r="AC232" s="276"/>
      <c r="AD232" s="276">
        <v>0</v>
      </c>
      <c r="AE232" s="276"/>
      <c r="AF232" s="276">
        <v>0</v>
      </c>
      <c r="AG232" s="276">
        <v>0</v>
      </c>
      <c r="AH232" s="283" t="s">
        <v>483</v>
      </c>
      <c r="AJ232" s="281" t="s">
        <v>553</v>
      </c>
      <c r="AK232" s="280" t="s">
        <v>552</v>
      </c>
      <c r="AL232" s="276">
        <v>0</v>
      </c>
      <c r="AM232" s="279">
        <v>0</v>
      </c>
      <c r="AN232" s="276">
        <v>39</v>
      </c>
      <c r="AO232" s="276">
        <v>0</v>
      </c>
      <c r="AP232" s="279">
        <v>0</v>
      </c>
      <c r="AQ232" s="276">
        <v>0</v>
      </c>
      <c r="AR232" s="276">
        <v>0</v>
      </c>
      <c r="AS232" s="271">
        <v>2</v>
      </c>
      <c r="AT232" s="276">
        <v>0</v>
      </c>
      <c r="AU232" s="279">
        <v>0</v>
      </c>
      <c r="AV232" s="276">
        <v>0</v>
      </c>
      <c r="AW232" s="276">
        <v>0</v>
      </c>
      <c r="AX232" s="279">
        <v>0</v>
      </c>
      <c r="AY232" s="276">
        <v>0</v>
      </c>
      <c r="AZ232" s="276">
        <v>0</v>
      </c>
      <c r="BA232" s="278" t="s">
        <v>551</v>
      </c>
      <c r="BB232" s="276">
        <v>0</v>
      </c>
      <c r="BC232" s="279">
        <v>0</v>
      </c>
      <c r="BD232" s="276">
        <v>0</v>
      </c>
      <c r="BE232" s="276">
        <v>0</v>
      </c>
      <c r="BF232" s="279">
        <v>0</v>
      </c>
      <c r="BG232" s="276">
        <v>0</v>
      </c>
      <c r="BH232" s="276">
        <v>0</v>
      </c>
      <c r="BI232" s="278" t="s">
        <v>550</v>
      </c>
      <c r="BJ232" s="276">
        <v>0</v>
      </c>
      <c r="BK232" s="276">
        <v>0</v>
      </c>
      <c r="BL232" s="276">
        <v>0</v>
      </c>
      <c r="BM232" s="276">
        <v>0</v>
      </c>
      <c r="BN232" s="276">
        <v>0</v>
      </c>
      <c r="BO232" s="276">
        <v>0</v>
      </c>
      <c r="BP232" s="276">
        <v>0</v>
      </c>
    </row>
    <row r="233" spans="1:68" x14ac:dyDescent="0.35">
      <c r="A233" s="277" t="s">
        <v>563</v>
      </c>
      <c r="B233" s="277" t="s">
        <v>562</v>
      </c>
      <c r="C233" s="283" t="s">
        <v>722</v>
      </c>
      <c r="D233" s="277" t="s">
        <v>560</v>
      </c>
      <c r="F233" s="277" t="s">
        <v>721</v>
      </c>
      <c r="K233" s="277" t="s">
        <v>689</v>
      </c>
      <c r="L233" s="277" t="s">
        <v>557</v>
      </c>
      <c r="N233" s="277" t="s">
        <v>690</v>
      </c>
      <c r="O233" s="277" t="s">
        <v>689</v>
      </c>
      <c r="P233" s="277" t="s">
        <v>557</v>
      </c>
      <c r="Q233" s="277" t="s">
        <v>556</v>
      </c>
      <c r="R233" s="277" t="s">
        <v>689</v>
      </c>
      <c r="S233" s="276">
        <v>0</v>
      </c>
      <c r="T233" s="276">
        <v>0</v>
      </c>
      <c r="U233" s="276">
        <v>0</v>
      </c>
      <c r="V233" s="276">
        <v>0</v>
      </c>
      <c r="W233" s="276">
        <v>0</v>
      </c>
      <c r="X233" s="276">
        <v>0</v>
      </c>
      <c r="Y233" s="276">
        <v>0</v>
      </c>
      <c r="Z233" s="276">
        <v>0</v>
      </c>
      <c r="AA233" s="276">
        <v>0</v>
      </c>
      <c r="AB233" s="276">
        <v>0</v>
      </c>
      <c r="AC233" s="276"/>
      <c r="AD233" s="276">
        <v>0</v>
      </c>
      <c r="AE233" s="276"/>
      <c r="AF233" s="276">
        <v>0</v>
      </c>
      <c r="AG233" s="276">
        <v>0</v>
      </c>
      <c r="AH233" s="283" t="s">
        <v>86</v>
      </c>
      <c r="AI233" s="282" t="s">
        <v>716</v>
      </c>
      <c r="AJ233" s="281" t="s">
        <v>553</v>
      </c>
      <c r="AK233" s="280" t="s">
        <v>552</v>
      </c>
      <c r="AL233" s="276">
        <v>0.64</v>
      </c>
      <c r="AM233" s="279">
        <v>0</v>
      </c>
      <c r="AN233" s="276">
        <v>0</v>
      </c>
      <c r="AO233" s="276">
        <v>0.64</v>
      </c>
      <c r="AP233" s="279">
        <v>0</v>
      </c>
      <c r="AQ233" s="276">
        <v>0</v>
      </c>
      <c r="AR233" s="276">
        <v>0</v>
      </c>
      <c r="AS233" s="271">
        <v>2</v>
      </c>
      <c r="AT233" s="276">
        <v>0</v>
      </c>
      <c r="AU233" s="279">
        <v>0</v>
      </c>
      <c r="AV233" s="276">
        <v>0</v>
      </c>
      <c r="AW233" s="276">
        <v>0</v>
      </c>
      <c r="AX233" s="279">
        <v>0</v>
      </c>
      <c r="AY233" s="276">
        <v>0</v>
      </c>
      <c r="AZ233" s="276">
        <v>0</v>
      </c>
      <c r="BA233" s="278" t="s">
        <v>551</v>
      </c>
      <c r="BB233" s="276">
        <v>0</v>
      </c>
      <c r="BC233" s="279">
        <v>0</v>
      </c>
      <c r="BD233" s="276">
        <v>0</v>
      </c>
      <c r="BE233" s="276">
        <v>0</v>
      </c>
      <c r="BF233" s="279">
        <v>0</v>
      </c>
      <c r="BG233" s="276">
        <v>0</v>
      </c>
      <c r="BH233" s="276">
        <v>0</v>
      </c>
      <c r="BI233" s="278" t="s">
        <v>550</v>
      </c>
      <c r="BJ233" s="276">
        <v>0</v>
      </c>
      <c r="BK233" s="276">
        <v>0</v>
      </c>
      <c r="BL233" s="276">
        <v>0</v>
      </c>
      <c r="BM233" s="276">
        <v>0</v>
      </c>
      <c r="BN233" s="276">
        <v>0</v>
      </c>
      <c r="BO233" s="276">
        <v>0</v>
      </c>
      <c r="BP233" s="276">
        <v>0</v>
      </c>
    </row>
    <row r="234" spans="1:68" x14ac:dyDescent="0.35">
      <c r="A234" s="277" t="s">
        <v>563</v>
      </c>
      <c r="B234" s="277" t="s">
        <v>562</v>
      </c>
      <c r="C234" s="283" t="s">
        <v>720</v>
      </c>
      <c r="D234" s="277" t="s">
        <v>560</v>
      </c>
      <c r="F234" s="277" t="s">
        <v>719</v>
      </c>
      <c r="K234" s="277" t="s">
        <v>689</v>
      </c>
      <c r="L234" s="277" t="s">
        <v>557</v>
      </c>
      <c r="N234" s="277" t="s">
        <v>690</v>
      </c>
      <c r="O234" s="277" t="s">
        <v>689</v>
      </c>
      <c r="P234" s="277" t="s">
        <v>557</v>
      </c>
      <c r="Q234" s="277" t="s">
        <v>556</v>
      </c>
      <c r="R234" s="277" t="s">
        <v>689</v>
      </c>
      <c r="S234" s="276">
        <v>0</v>
      </c>
      <c r="T234" s="276">
        <v>0</v>
      </c>
      <c r="U234" s="276">
        <v>0</v>
      </c>
      <c r="V234" s="276">
        <v>0</v>
      </c>
      <c r="W234" s="276">
        <v>0</v>
      </c>
      <c r="X234" s="276">
        <v>0</v>
      </c>
      <c r="Y234" s="276">
        <v>0</v>
      </c>
      <c r="Z234" s="276">
        <v>0</v>
      </c>
      <c r="AA234" s="276">
        <v>0</v>
      </c>
      <c r="AB234" s="276">
        <v>0</v>
      </c>
      <c r="AC234" s="276"/>
      <c r="AD234" s="276">
        <v>0</v>
      </c>
      <c r="AE234" s="276"/>
      <c r="AF234" s="276">
        <v>0</v>
      </c>
      <c r="AG234" s="276">
        <v>0</v>
      </c>
      <c r="AH234" s="283" t="s">
        <v>86</v>
      </c>
      <c r="AI234" s="282" t="s">
        <v>714</v>
      </c>
      <c r="AJ234" s="281" t="s">
        <v>553</v>
      </c>
      <c r="AK234" s="280" t="s">
        <v>552</v>
      </c>
      <c r="AL234" s="276">
        <v>2.09</v>
      </c>
      <c r="AM234" s="279">
        <v>0</v>
      </c>
      <c r="AN234" s="276">
        <v>0</v>
      </c>
      <c r="AO234" s="276">
        <v>2.09</v>
      </c>
      <c r="AP234" s="279">
        <v>0</v>
      </c>
      <c r="AQ234" s="276">
        <v>0</v>
      </c>
      <c r="AR234" s="276">
        <v>0</v>
      </c>
      <c r="AS234" s="271">
        <v>2</v>
      </c>
      <c r="AT234" s="276">
        <v>0</v>
      </c>
      <c r="AU234" s="279">
        <v>0</v>
      </c>
      <c r="AV234" s="276">
        <v>0</v>
      </c>
      <c r="AW234" s="276">
        <v>0</v>
      </c>
      <c r="AX234" s="279">
        <v>0</v>
      </c>
      <c r="AY234" s="276">
        <v>0</v>
      </c>
      <c r="AZ234" s="276">
        <v>0</v>
      </c>
      <c r="BA234" s="278" t="s">
        <v>551</v>
      </c>
      <c r="BB234" s="276">
        <v>0</v>
      </c>
      <c r="BC234" s="279">
        <v>0</v>
      </c>
      <c r="BD234" s="276">
        <v>0</v>
      </c>
      <c r="BE234" s="276">
        <v>0</v>
      </c>
      <c r="BF234" s="279">
        <v>0</v>
      </c>
      <c r="BG234" s="276">
        <v>0</v>
      </c>
      <c r="BH234" s="276">
        <v>0</v>
      </c>
      <c r="BI234" s="278" t="s">
        <v>550</v>
      </c>
      <c r="BJ234" s="276">
        <v>0</v>
      </c>
      <c r="BK234" s="276">
        <v>0</v>
      </c>
      <c r="BL234" s="276">
        <v>0</v>
      </c>
      <c r="BM234" s="276">
        <v>0</v>
      </c>
      <c r="BN234" s="276">
        <v>0</v>
      </c>
      <c r="BO234" s="276">
        <v>0</v>
      </c>
      <c r="BP234" s="276">
        <v>0</v>
      </c>
    </row>
    <row r="235" spans="1:68" x14ac:dyDescent="0.35">
      <c r="A235" s="277" t="s">
        <v>563</v>
      </c>
      <c r="B235" s="277" t="s">
        <v>562</v>
      </c>
      <c r="C235" s="283" t="s">
        <v>718</v>
      </c>
      <c r="D235" s="277" t="s">
        <v>560</v>
      </c>
      <c r="F235" s="277" t="s">
        <v>717</v>
      </c>
      <c r="K235" s="277" t="s">
        <v>689</v>
      </c>
      <c r="L235" s="277" t="s">
        <v>557</v>
      </c>
      <c r="N235" s="277" t="s">
        <v>690</v>
      </c>
      <c r="O235" s="277" t="s">
        <v>689</v>
      </c>
      <c r="P235" s="277" t="s">
        <v>557</v>
      </c>
      <c r="Q235" s="277" t="s">
        <v>556</v>
      </c>
      <c r="R235" s="277" t="s">
        <v>689</v>
      </c>
      <c r="S235" s="276">
        <v>0</v>
      </c>
      <c r="T235" s="276">
        <v>0</v>
      </c>
      <c r="U235" s="276">
        <v>0</v>
      </c>
      <c r="V235" s="276">
        <v>0</v>
      </c>
      <c r="W235" s="276">
        <v>0</v>
      </c>
      <c r="X235" s="276">
        <v>0</v>
      </c>
      <c r="Y235" s="276">
        <v>0</v>
      </c>
      <c r="Z235" s="276">
        <v>0</v>
      </c>
      <c r="AA235" s="276">
        <v>0</v>
      </c>
      <c r="AB235" s="276">
        <v>0</v>
      </c>
      <c r="AC235" s="276"/>
      <c r="AD235" s="276">
        <v>0</v>
      </c>
      <c r="AE235" s="276"/>
      <c r="AF235" s="276">
        <v>0</v>
      </c>
      <c r="AG235" s="276">
        <v>0</v>
      </c>
      <c r="AH235" s="283" t="s">
        <v>86</v>
      </c>
      <c r="AI235" s="282" t="s">
        <v>712</v>
      </c>
      <c r="AJ235" s="281" t="s">
        <v>553</v>
      </c>
      <c r="AK235" s="280" t="s">
        <v>552</v>
      </c>
      <c r="AL235" s="276">
        <v>0.95</v>
      </c>
      <c r="AM235" s="279">
        <v>0</v>
      </c>
      <c r="AN235" s="276">
        <v>0</v>
      </c>
      <c r="AO235" s="276">
        <v>0.95</v>
      </c>
      <c r="AP235" s="279">
        <v>0</v>
      </c>
      <c r="AQ235" s="276">
        <v>0</v>
      </c>
      <c r="AR235" s="276">
        <v>0</v>
      </c>
      <c r="AS235" s="271">
        <v>2</v>
      </c>
      <c r="AT235" s="276">
        <v>0</v>
      </c>
      <c r="AU235" s="279">
        <v>0</v>
      </c>
      <c r="AV235" s="276">
        <v>0</v>
      </c>
      <c r="AW235" s="276">
        <v>0</v>
      </c>
      <c r="AX235" s="279">
        <v>0</v>
      </c>
      <c r="AY235" s="276">
        <v>0</v>
      </c>
      <c r="AZ235" s="276">
        <v>0</v>
      </c>
      <c r="BA235" s="278" t="s">
        <v>551</v>
      </c>
      <c r="BB235" s="276">
        <v>0</v>
      </c>
      <c r="BC235" s="279">
        <v>0</v>
      </c>
      <c r="BD235" s="276">
        <v>0</v>
      </c>
      <c r="BE235" s="276">
        <v>0</v>
      </c>
      <c r="BF235" s="279">
        <v>0</v>
      </c>
      <c r="BG235" s="276">
        <v>0</v>
      </c>
      <c r="BH235" s="276">
        <v>0</v>
      </c>
      <c r="BI235" s="278" t="s">
        <v>550</v>
      </c>
      <c r="BJ235" s="276">
        <v>0</v>
      </c>
      <c r="BK235" s="276">
        <v>0</v>
      </c>
      <c r="BL235" s="276">
        <v>0</v>
      </c>
      <c r="BM235" s="276">
        <v>0</v>
      </c>
      <c r="BN235" s="276">
        <v>0</v>
      </c>
      <c r="BO235" s="276">
        <v>0</v>
      </c>
      <c r="BP235" s="276">
        <v>0</v>
      </c>
    </row>
    <row r="236" spans="1:68" x14ac:dyDescent="0.35">
      <c r="A236" s="277" t="s">
        <v>563</v>
      </c>
      <c r="B236" s="277" t="s">
        <v>562</v>
      </c>
      <c r="C236" s="283" t="s">
        <v>716</v>
      </c>
      <c r="D236" s="277" t="s">
        <v>560</v>
      </c>
      <c r="F236" s="277" t="s">
        <v>715</v>
      </c>
      <c r="K236" s="277" t="s">
        <v>689</v>
      </c>
      <c r="L236" s="277" t="s">
        <v>557</v>
      </c>
      <c r="N236" s="277" t="s">
        <v>690</v>
      </c>
      <c r="O236" s="277" t="s">
        <v>689</v>
      </c>
      <c r="P236" s="277" t="s">
        <v>557</v>
      </c>
      <c r="Q236" s="277" t="s">
        <v>556</v>
      </c>
      <c r="R236" s="277" t="s">
        <v>689</v>
      </c>
      <c r="S236" s="276">
        <v>0</v>
      </c>
      <c r="T236" s="276">
        <v>0</v>
      </c>
      <c r="U236" s="276">
        <v>0</v>
      </c>
      <c r="V236" s="276">
        <v>0</v>
      </c>
      <c r="W236" s="276">
        <v>0</v>
      </c>
      <c r="X236" s="276">
        <v>0</v>
      </c>
      <c r="Y236" s="276">
        <v>0</v>
      </c>
      <c r="Z236" s="276">
        <v>0</v>
      </c>
      <c r="AA236" s="276">
        <v>0</v>
      </c>
      <c r="AB236" s="276">
        <v>0</v>
      </c>
      <c r="AC236" s="276"/>
      <c r="AD236" s="276">
        <v>0</v>
      </c>
      <c r="AE236" s="276"/>
      <c r="AF236" s="276">
        <v>0</v>
      </c>
      <c r="AG236" s="276">
        <v>0</v>
      </c>
      <c r="AH236" s="283" t="s">
        <v>483</v>
      </c>
      <c r="AJ236" s="281" t="s">
        <v>553</v>
      </c>
      <c r="AK236" s="280" t="s">
        <v>552</v>
      </c>
      <c r="AL236" s="276">
        <v>0.52</v>
      </c>
      <c r="AM236" s="279">
        <v>0</v>
      </c>
      <c r="AN236" s="276">
        <v>0</v>
      </c>
      <c r="AO236" s="276">
        <v>0.52</v>
      </c>
      <c r="AP236" s="279">
        <v>0</v>
      </c>
      <c r="AQ236" s="276">
        <v>0</v>
      </c>
      <c r="AR236" s="276">
        <v>0</v>
      </c>
      <c r="AS236" s="271">
        <v>2</v>
      </c>
      <c r="AT236" s="276">
        <v>0</v>
      </c>
      <c r="AU236" s="279">
        <v>0</v>
      </c>
      <c r="AV236" s="276">
        <v>0</v>
      </c>
      <c r="AW236" s="276">
        <v>0</v>
      </c>
      <c r="AX236" s="279">
        <v>0</v>
      </c>
      <c r="AY236" s="276">
        <v>0</v>
      </c>
      <c r="AZ236" s="276">
        <v>0</v>
      </c>
      <c r="BA236" s="278" t="s">
        <v>551</v>
      </c>
      <c r="BB236" s="276">
        <v>0</v>
      </c>
      <c r="BC236" s="279">
        <v>0</v>
      </c>
      <c r="BD236" s="276">
        <v>0</v>
      </c>
      <c r="BE236" s="276">
        <v>0</v>
      </c>
      <c r="BF236" s="279">
        <v>0</v>
      </c>
      <c r="BG236" s="276">
        <v>0</v>
      </c>
      <c r="BH236" s="276">
        <v>0</v>
      </c>
      <c r="BI236" s="278" t="s">
        <v>550</v>
      </c>
      <c r="BJ236" s="276">
        <v>0</v>
      </c>
      <c r="BK236" s="276">
        <v>0</v>
      </c>
      <c r="BL236" s="276">
        <v>0</v>
      </c>
      <c r="BM236" s="276">
        <v>0</v>
      </c>
      <c r="BN236" s="276">
        <v>0</v>
      </c>
      <c r="BO236" s="276">
        <v>0</v>
      </c>
      <c r="BP236" s="276">
        <v>0</v>
      </c>
    </row>
    <row r="237" spans="1:68" x14ac:dyDescent="0.35">
      <c r="A237" s="277" t="s">
        <v>563</v>
      </c>
      <c r="B237" s="277" t="s">
        <v>562</v>
      </c>
      <c r="C237" s="283" t="s">
        <v>714</v>
      </c>
      <c r="D237" s="277" t="s">
        <v>560</v>
      </c>
      <c r="F237" s="277" t="s">
        <v>713</v>
      </c>
      <c r="K237" s="277" t="s">
        <v>689</v>
      </c>
      <c r="L237" s="277" t="s">
        <v>557</v>
      </c>
      <c r="N237" s="277" t="s">
        <v>690</v>
      </c>
      <c r="O237" s="277" t="s">
        <v>689</v>
      </c>
      <c r="P237" s="277" t="s">
        <v>557</v>
      </c>
      <c r="Q237" s="277" t="s">
        <v>556</v>
      </c>
      <c r="R237" s="277" t="s">
        <v>689</v>
      </c>
      <c r="S237" s="276">
        <v>0</v>
      </c>
      <c r="T237" s="276">
        <v>0</v>
      </c>
      <c r="U237" s="276">
        <v>0</v>
      </c>
      <c r="V237" s="276">
        <v>0</v>
      </c>
      <c r="W237" s="276">
        <v>0</v>
      </c>
      <c r="X237" s="276">
        <v>0</v>
      </c>
      <c r="Y237" s="276">
        <v>0</v>
      </c>
      <c r="Z237" s="276">
        <v>0</v>
      </c>
      <c r="AA237" s="276">
        <v>0</v>
      </c>
      <c r="AB237" s="276">
        <v>0</v>
      </c>
      <c r="AC237" s="276"/>
      <c r="AD237" s="276">
        <v>0</v>
      </c>
      <c r="AE237" s="276"/>
      <c r="AF237" s="276">
        <v>0</v>
      </c>
      <c r="AG237" s="276">
        <v>0</v>
      </c>
      <c r="AH237" s="283" t="s">
        <v>483</v>
      </c>
      <c r="AJ237" s="281" t="s">
        <v>553</v>
      </c>
      <c r="AK237" s="280" t="s">
        <v>552</v>
      </c>
      <c r="AL237" s="276">
        <v>0.85</v>
      </c>
      <c r="AM237" s="279">
        <v>0</v>
      </c>
      <c r="AN237" s="276">
        <v>0</v>
      </c>
      <c r="AO237" s="276">
        <v>0.85</v>
      </c>
      <c r="AP237" s="279">
        <v>0</v>
      </c>
      <c r="AQ237" s="276">
        <v>0</v>
      </c>
      <c r="AR237" s="276">
        <v>0</v>
      </c>
      <c r="AS237" s="271">
        <v>2</v>
      </c>
      <c r="AT237" s="276">
        <v>0</v>
      </c>
      <c r="AU237" s="279">
        <v>0</v>
      </c>
      <c r="AV237" s="276">
        <v>0</v>
      </c>
      <c r="AW237" s="276">
        <v>0</v>
      </c>
      <c r="AX237" s="279">
        <v>0</v>
      </c>
      <c r="AY237" s="276">
        <v>0</v>
      </c>
      <c r="AZ237" s="276">
        <v>0</v>
      </c>
      <c r="BA237" s="278" t="s">
        <v>551</v>
      </c>
      <c r="BB237" s="276">
        <v>0</v>
      </c>
      <c r="BC237" s="279">
        <v>0</v>
      </c>
      <c r="BD237" s="276">
        <v>0</v>
      </c>
      <c r="BE237" s="276">
        <v>0</v>
      </c>
      <c r="BF237" s="279">
        <v>0</v>
      </c>
      <c r="BG237" s="276">
        <v>0</v>
      </c>
      <c r="BH237" s="276">
        <v>0</v>
      </c>
      <c r="BI237" s="278" t="s">
        <v>550</v>
      </c>
      <c r="BJ237" s="276">
        <v>0</v>
      </c>
      <c r="BK237" s="276">
        <v>0</v>
      </c>
      <c r="BL237" s="276">
        <v>0</v>
      </c>
      <c r="BM237" s="276">
        <v>0</v>
      </c>
      <c r="BN237" s="276">
        <v>0</v>
      </c>
      <c r="BO237" s="276">
        <v>0</v>
      </c>
      <c r="BP237" s="276">
        <v>0</v>
      </c>
    </row>
    <row r="238" spans="1:68" x14ac:dyDescent="0.35">
      <c r="A238" s="277" t="s">
        <v>563</v>
      </c>
      <c r="B238" s="277" t="s">
        <v>562</v>
      </c>
      <c r="C238" s="283" t="s">
        <v>712</v>
      </c>
      <c r="D238" s="277" t="s">
        <v>560</v>
      </c>
      <c r="F238" s="277" t="s">
        <v>711</v>
      </c>
      <c r="K238" s="277" t="s">
        <v>689</v>
      </c>
      <c r="L238" s="277" t="s">
        <v>557</v>
      </c>
      <c r="N238" s="277" t="s">
        <v>690</v>
      </c>
      <c r="O238" s="277" t="s">
        <v>689</v>
      </c>
      <c r="P238" s="277" t="s">
        <v>557</v>
      </c>
      <c r="Q238" s="277" t="s">
        <v>556</v>
      </c>
      <c r="R238" s="277" t="s">
        <v>689</v>
      </c>
      <c r="S238" s="276">
        <v>0</v>
      </c>
      <c r="T238" s="276">
        <v>0</v>
      </c>
      <c r="U238" s="276">
        <v>0</v>
      </c>
      <c r="V238" s="276">
        <v>0</v>
      </c>
      <c r="W238" s="276">
        <v>0</v>
      </c>
      <c r="X238" s="276">
        <v>0</v>
      </c>
      <c r="Y238" s="276">
        <v>0</v>
      </c>
      <c r="Z238" s="276">
        <v>0</v>
      </c>
      <c r="AA238" s="276">
        <v>0</v>
      </c>
      <c r="AB238" s="276">
        <v>0</v>
      </c>
      <c r="AC238" s="276"/>
      <c r="AD238" s="276">
        <v>0</v>
      </c>
      <c r="AE238" s="276"/>
      <c r="AF238" s="276">
        <v>0</v>
      </c>
      <c r="AG238" s="276">
        <v>0</v>
      </c>
      <c r="AH238" s="283" t="s">
        <v>483</v>
      </c>
      <c r="AJ238" s="281" t="s">
        <v>553</v>
      </c>
      <c r="AK238" s="280" t="s">
        <v>552</v>
      </c>
      <c r="AL238" s="276">
        <v>0.7</v>
      </c>
      <c r="AM238" s="279">
        <v>0</v>
      </c>
      <c r="AN238" s="276">
        <v>0</v>
      </c>
      <c r="AO238" s="276">
        <v>0.7</v>
      </c>
      <c r="AP238" s="279">
        <v>0</v>
      </c>
      <c r="AQ238" s="276">
        <v>0</v>
      </c>
      <c r="AR238" s="276">
        <v>0</v>
      </c>
      <c r="AS238" s="271">
        <v>2</v>
      </c>
      <c r="AT238" s="276">
        <v>0</v>
      </c>
      <c r="AU238" s="279">
        <v>0</v>
      </c>
      <c r="AV238" s="276">
        <v>0</v>
      </c>
      <c r="AW238" s="276">
        <v>0</v>
      </c>
      <c r="AX238" s="279">
        <v>0</v>
      </c>
      <c r="AY238" s="276">
        <v>0</v>
      </c>
      <c r="AZ238" s="276">
        <v>0</v>
      </c>
      <c r="BA238" s="278" t="s">
        <v>551</v>
      </c>
      <c r="BB238" s="276">
        <v>0</v>
      </c>
      <c r="BC238" s="279">
        <v>0</v>
      </c>
      <c r="BD238" s="276">
        <v>0</v>
      </c>
      <c r="BE238" s="276">
        <v>0</v>
      </c>
      <c r="BF238" s="279">
        <v>0</v>
      </c>
      <c r="BG238" s="276">
        <v>0</v>
      </c>
      <c r="BH238" s="276">
        <v>0</v>
      </c>
      <c r="BI238" s="278" t="s">
        <v>550</v>
      </c>
      <c r="BJ238" s="276">
        <v>0</v>
      </c>
      <c r="BK238" s="276">
        <v>0</v>
      </c>
      <c r="BL238" s="276">
        <v>0</v>
      </c>
      <c r="BM238" s="276">
        <v>0</v>
      </c>
      <c r="BN238" s="276">
        <v>0</v>
      </c>
      <c r="BO238" s="276">
        <v>0</v>
      </c>
      <c r="BP238" s="276">
        <v>0</v>
      </c>
    </row>
    <row r="239" spans="1:68" x14ac:dyDescent="0.35">
      <c r="A239" s="277" t="s">
        <v>563</v>
      </c>
      <c r="B239" s="277" t="s">
        <v>562</v>
      </c>
      <c r="C239" s="283" t="s">
        <v>710</v>
      </c>
      <c r="D239" s="277" t="s">
        <v>560</v>
      </c>
      <c r="F239" s="277" t="s">
        <v>709</v>
      </c>
      <c r="K239" s="277" t="s">
        <v>689</v>
      </c>
      <c r="L239" s="277" t="s">
        <v>557</v>
      </c>
      <c r="N239" s="277" t="s">
        <v>690</v>
      </c>
      <c r="O239" s="277" t="s">
        <v>689</v>
      </c>
      <c r="P239" s="277" t="s">
        <v>557</v>
      </c>
      <c r="Q239" s="277" t="s">
        <v>556</v>
      </c>
      <c r="R239" s="277" t="s">
        <v>689</v>
      </c>
      <c r="S239" s="276">
        <v>0</v>
      </c>
      <c r="T239" s="276">
        <v>0</v>
      </c>
      <c r="U239" s="276">
        <v>0</v>
      </c>
      <c r="V239" s="276">
        <v>0</v>
      </c>
      <c r="W239" s="276">
        <v>0</v>
      </c>
      <c r="X239" s="276">
        <v>0</v>
      </c>
      <c r="Y239" s="276">
        <v>0</v>
      </c>
      <c r="Z239" s="276">
        <v>0</v>
      </c>
      <c r="AA239" s="276">
        <v>0</v>
      </c>
      <c r="AB239" s="276">
        <v>0</v>
      </c>
      <c r="AC239" s="276"/>
      <c r="AD239" s="276">
        <v>0</v>
      </c>
      <c r="AE239" s="276"/>
      <c r="AF239" s="276">
        <v>0</v>
      </c>
      <c r="AG239" s="276">
        <v>0</v>
      </c>
      <c r="AH239" s="283" t="s">
        <v>483</v>
      </c>
      <c r="AJ239" s="281" t="s">
        <v>553</v>
      </c>
      <c r="AK239" s="280" t="s">
        <v>552</v>
      </c>
      <c r="AL239" s="276">
        <v>0</v>
      </c>
      <c r="AM239" s="279">
        <v>0</v>
      </c>
      <c r="AN239" s="276">
        <v>103</v>
      </c>
      <c r="AO239" s="276">
        <v>0</v>
      </c>
      <c r="AP239" s="279">
        <v>0</v>
      </c>
      <c r="AQ239" s="276">
        <v>0</v>
      </c>
      <c r="AR239" s="276">
        <v>0</v>
      </c>
      <c r="AS239" s="271">
        <v>2</v>
      </c>
      <c r="AT239" s="276">
        <v>0</v>
      </c>
      <c r="AU239" s="279">
        <v>0</v>
      </c>
      <c r="AV239" s="276">
        <v>0</v>
      </c>
      <c r="AW239" s="276">
        <v>0</v>
      </c>
      <c r="AX239" s="279">
        <v>0</v>
      </c>
      <c r="AY239" s="276">
        <v>0</v>
      </c>
      <c r="AZ239" s="276">
        <v>0</v>
      </c>
      <c r="BA239" s="278" t="s">
        <v>551</v>
      </c>
      <c r="BB239" s="276">
        <v>0</v>
      </c>
      <c r="BC239" s="279">
        <v>0</v>
      </c>
      <c r="BD239" s="276">
        <v>0</v>
      </c>
      <c r="BE239" s="276">
        <v>0</v>
      </c>
      <c r="BF239" s="279">
        <v>0</v>
      </c>
      <c r="BG239" s="276">
        <v>0</v>
      </c>
      <c r="BH239" s="276">
        <v>0</v>
      </c>
      <c r="BI239" s="278" t="s">
        <v>550</v>
      </c>
      <c r="BJ239" s="276">
        <v>0</v>
      </c>
      <c r="BK239" s="276">
        <v>0</v>
      </c>
      <c r="BL239" s="276">
        <v>0</v>
      </c>
      <c r="BM239" s="276">
        <v>0</v>
      </c>
      <c r="BN239" s="276">
        <v>0</v>
      </c>
      <c r="BO239" s="276">
        <v>0</v>
      </c>
      <c r="BP239" s="276">
        <v>0</v>
      </c>
    </row>
    <row r="240" spans="1:68" x14ac:dyDescent="0.35">
      <c r="A240" s="277" t="s">
        <v>563</v>
      </c>
      <c r="B240" s="277" t="s">
        <v>562</v>
      </c>
      <c r="C240" s="283" t="s">
        <v>708</v>
      </c>
      <c r="D240" s="277" t="s">
        <v>560</v>
      </c>
      <c r="F240" s="277" t="s">
        <v>707</v>
      </c>
      <c r="K240" s="277" t="s">
        <v>689</v>
      </c>
      <c r="L240" s="277" t="s">
        <v>557</v>
      </c>
      <c r="N240" s="277" t="s">
        <v>690</v>
      </c>
      <c r="O240" s="277" t="s">
        <v>689</v>
      </c>
      <c r="P240" s="277" t="s">
        <v>557</v>
      </c>
      <c r="Q240" s="277" t="s">
        <v>556</v>
      </c>
      <c r="R240" s="277" t="s">
        <v>689</v>
      </c>
      <c r="S240" s="276">
        <v>2150</v>
      </c>
      <c r="T240" s="276">
        <v>0</v>
      </c>
      <c r="U240" s="276">
        <v>0</v>
      </c>
      <c r="V240" s="276">
        <v>0</v>
      </c>
      <c r="W240" s="276">
        <v>0</v>
      </c>
      <c r="X240" s="276">
        <v>0</v>
      </c>
      <c r="Y240" s="276">
        <v>0</v>
      </c>
      <c r="Z240" s="276">
        <v>0</v>
      </c>
      <c r="AA240" s="276">
        <v>0</v>
      </c>
      <c r="AB240" s="276">
        <v>0</v>
      </c>
      <c r="AC240" s="276"/>
      <c r="AD240" s="276">
        <v>0</v>
      </c>
      <c r="AE240" s="276"/>
      <c r="AF240" s="276">
        <v>0</v>
      </c>
      <c r="AG240" s="276">
        <v>0</v>
      </c>
      <c r="AH240" s="283" t="s">
        <v>483</v>
      </c>
      <c r="AJ240" s="281" t="s">
        <v>553</v>
      </c>
      <c r="AK240" s="280" t="s">
        <v>552</v>
      </c>
      <c r="AL240" s="276">
        <v>0</v>
      </c>
      <c r="AM240" s="279">
        <v>0</v>
      </c>
      <c r="AN240" s="276">
        <v>33.200000000000003</v>
      </c>
      <c r="AO240" s="276">
        <v>0</v>
      </c>
      <c r="AP240" s="279">
        <v>0</v>
      </c>
      <c r="AQ240" s="276">
        <v>0</v>
      </c>
      <c r="AR240" s="276">
        <v>0</v>
      </c>
      <c r="AS240" s="271">
        <v>2</v>
      </c>
      <c r="AT240" s="276">
        <v>0</v>
      </c>
      <c r="AU240" s="279">
        <v>0</v>
      </c>
      <c r="AV240" s="276">
        <v>0</v>
      </c>
      <c r="AW240" s="276">
        <v>0</v>
      </c>
      <c r="AX240" s="279">
        <v>0</v>
      </c>
      <c r="AY240" s="276">
        <v>0</v>
      </c>
      <c r="AZ240" s="276">
        <v>0</v>
      </c>
      <c r="BA240" s="278" t="s">
        <v>551</v>
      </c>
      <c r="BB240" s="276">
        <v>0</v>
      </c>
      <c r="BC240" s="279">
        <v>0</v>
      </c>
      <c r="BD240" s="276">
        <v>0</v>
      </c>
      <c r="BE240" s="276">
        <v>0</v>
      </c>
      <c r="BF240" s="279">
        <v>0</v>
      </c>
      <c r="BG240" s="276">
        <v>0</v>
      </c>
      <c r="BH240" s="276">
        <v>0</v>
      </c>
      <c r="BI240" s="278" t="s">
        <v>550</v>
      </c>
      <c r="BJ240" s="276">
        <v>0</v>
      </c>
      <c r="BK240" s="276">
        <v>0</v>
      </c>
      <c r="BL240" s="276">
        <v>0</v>
      </c>
      <c r="BM240" s="276">
        <v>0</v>
      </c>
      <c r="BN240" s="276">
        <v>0</v>
      </c>
      <c r="BO240" s="276">
        <v>0</v>
      </c>
      <c r="BP240" s="276">
        <v>0</v>
      </c>
    </row>
    <row r="241" spans="1:68" x14ac:dyDescent="0.35">
      <c r="A241" s="277" t="s">
        <v>563</v>
      </c>
      <c r="B241" s="277" t="s">
        <v>562</v>
      </c>
      <c r="C241" s="283" t="s">
        <v>706</v>
      </c>
      <c r="D241" s="277" t="s">
        <v>560</v>
      </c>
      <c r="F241" s="277" t="s">
        <v>705</v>
      </c>
      <c r="K241" s="277" t="s">
        <v>689</v>
      </c>
      <c r="L241" s="277" t="s">
        <v>557</v>
      </c>
      <c r="N241" s="277" t="s">
        <v>690</v>
      </c>
      <c r="O241" s="277" t="s">
        <v>689</v>
      </c>
      <c r="P241" s="277" t="s">
        <v>557</v>
      </c>
      <c r="Q241" s="277" t="s">
        <v>556</v>
      </c>
      <c r="R241" s="277" t="s">
        <v>689</v>
      </c>
      <c r="S241" s="276">
        <v>0</v>
      </c>
      <c r="T241" s="276">
        <v>0</v>
      </c>
      <c r="U241" s="276">
        <v>0</v>
      </c>
      <c r="V241" s="276">
        <v>0</v>
      </c>
      <c r="W241" s="276">
        <v>0</v>
      </c>
      <c r="X241" s="276">
        <v>0</v>
      </c>
      <c r="Y241" s="276">
        <v>0</v>
      </c>
      <c r="Z241" s="276">
        <v>0</v>
      </c>
      <c r="AA241" s="276">
        <v>0</v>
      </c>
      <c r="AB241" s="276">
        <v>0</v>
      </c>
      <c r="AC241" s="276"/>
      <c r="AD241" s="276">
        <v>0</v>
      </c>
      <c r="AE241" s="276"/>
      <c r="AF241" s="276">
        <v>0</v>
      </c>
      <c r="AG241" s="276">
        <v>0</v>
      </c>
      <c r="AH241" s="283" t="s">
        <v>483</v>
      </c>
      <c r="AJ241" s="281" t="s">
        <v>553</v>
      </c>
      <c r="AK241" s="280" t="s">
        <v>552</v>
      </c>
      <c r="AL241" s="276">
        <v>0</v>
      </c>
      <c r="AM241" s="279">
        <v>0</v>
      </c>
      <c r="AN241" s="276">
        <v>92.27</v>
      </c>
      <c r="AO241" s="276">
        <v>0</v>
      </c>
      <c r="AP241" s="279">
        <v>0</v>
      </c>
      <c r="AQ241" s="276">
        <v>0</v>
      </c>
      <c r="AR241" s="276">
        <v>0</v>
      </c>
      <c r="AS241" s="271">
        <v>2</v>
      </c>
      <c r="AT241" s="276">
        <v>0</v>
      </c>
      <c r="AU241" s="279">
        <v>0</v>
      </c>
      <c r="AV241" s="276">
        <v>0</v>
      </c>
      <c r="AW241" s="276">
        <v>0</v>
      </c>
      <c r="AX241" s="279">
        <v>0</v>
      </c>
      <c r="AY241" s="276">
        <v>0</v>
      </c>
      <c r="AZ241" s="276">
        <v>0</v>
      </c>
      <c r="BA241" s="278" t="s">
        <v>551</v>
      </c>
      <c r="BB241" s="276">
        <v>0</v>
      </c>
      <c r="BC241" s="279">
        <v>0</v>
      </c>
      <c r="BD241" s="276">
        <v>0</v>
      </c>
      <c r="BE241" s="276">
        <v>0</v>
      </c>
      <c r="BF241" s="279">
        <v>0</v>
      </c>
      <c r="BG241" s="276">
        <v>0</v>
      </c>
      <c r="BH241" s="276">
        <v>0</v>
      </c>
      <c r="BI241" s="278" t="s">
        <v>550</v>
      </c>
      <c r="BJ241" s="276">
        <v>0</v>
      </c>
      <c r="BK241" s="276">
        <v>0</v>
      </c>
      <c r="BL241" s="276">
        <v>0</v>
      </c>
      <c r="BM241" s="276">
        <v>0</v>
      </c>
      <c r="BN241" s="276">
        <v>0</v>
      </c>
      <c r="BO241" s="276">
        <v>0</v>
      </c>
      <c r="BP241" s="276">
        <v>0</v>
      </c>
    </row>
    <row r="242" spans="1:68" x14ac:dyDescent="0.35">
      <c r="A242" s="277" t="s">
        <v>563</v>
      </c>
      <c r="B242" s="277" t="s">
        <v>562</v>
      </c>
      <c r="C242" s="283" t="s">
        <v>700</v>
      </c>
      <c r="D242" s="277" t="s">
        <v>560</v>
      </c>
      <c r="F242" s="277" t="s">
        <v>704</v>
      </c>
      <c r="K242" s="277" t="s">
        <v>689</v>
      </c>
      <c r="L242" s="277" t="s">
        <v>557</v>
      </c>
      <c r="N242" s="277" t="s">
        <v>690</v>
      </c>
      <c r="O242" s="277" t="s">
        <v>689</v>
      </c>
      <c r="P242" s="277" t="s">
        <v>557</v>
      </c>
      <c r="Q242" s="277" t="s">
        <v>556</v>
      </c>
      <c r="R242" s="277" t="s">
        <v>689</v>
      </c>
      <c r="S242" s="276">
        <v>0</v>
      </c>
      <c r="T242" s="276">
        <v>0</v>
      </c>
      <c r="U242" s="276">
        <v>0</v>
      </c>
      <c r="V242" s="276">
        <v>0</v>
      </c>
      <c r="W242" s="276">
        <v>0</v>
      </c>
      <c r="X242" s="276">
        <v>0</v>
      </c>
      <c r="Y242" s="276">
        <v>0</v>
      </c>
      <c r="Z242" s="276">
        <v>0</v>
      </c>
      <c r="AA242" s="276">
        <v>0</v>
      </c>
      <c r="AB242" s="276">
        <v>0</v>
      </c>
      <c r="AC242" s="276"/>
      <c r="AD242" s="276">
        <v>0</v>
      </c>
      <c r="AE242" s="276"/>
      <c r="AF242" s="276">
        <v>0</v>
      </c>
      <c r="AG242" s="276">
        <v>0</v>
      </c>
      <c r="AH242" s="283" t="s">
        <v>483</v>
      </c>
      <c r="AJ242" s="281" t="s">
        <v>553</v>
      </c>
      <c r="AK242" s="280" t="s">
        <v>552</v>
      </c>
      <c r="AL242" s="276">
        <v>1.3</v>
      </c>
      <c r="AM242" s="279">
        <v>0</v>
      </c>
      <c r="AN242" s="276">
        <v>0</v>
      </c>
      <c r="AO242" s="276">
        <v>1.3</v>
      </c>
      <c r="AP242" s="279">
        <v>0</v>
      </c>
      <c r="AQ242" s="276">
        <v>0</v>
      </c>
      <c r="AR242" s="276">
        <v>0</v>
      </c>
      <c r="AS242" s="271">
        <v>2</v>
      </c>
      <c r="AT242" s="276">
        <v>0</v>
      </c>
      <c r="AU242" s="279">
        <v>0</v>
      </c>
      <c r="AV242" s="276">
        <v>0</v>
      </c>
      <c r="AW242" s="276">
        <v>0</v>
      </c>
      <c r="AX242" s="279">
        <v>0</v>
      </c>
      <c r="AY242" s="276">
        <v>0</v>
      </c>
      <c r="AZ242" s="276">
        <v>0</v>
      </c>
      <c r="BA242" s="278" t="s">
        <v>551</v>
      </c>
      <c r="BB242" s="276">
        <v>0</v>
      </c>
      <c r="BC242" s="279">
        <v>0</v>
      </c>
      <c r="BD242" s="276">
        <v>0</v>
      </c>
      <c r="BE242" s="276">
        <v>0</v>
      </c>
      <c r="BF242" s="279">
        <v>0</v>
      </c>
      <c r="BG242" s="276">
        <v>0</v>
      </c>
      <c r="BH242" s="276">
        <v>0</v>
      </c>
      <c r="BI242" s="278" t="s">
        <v>550</v>
      </c>
      <c r="BJ242" s="276">
        <v>0</v>
      </c>
      <c r="BK242" s="276">
        <v>0</v>
      </c>
      <c r="BL242" s="276">
        <v>0</v>
      </c>
      <c r="BM242" s="276">
        <v>0</v>
      </c>
      <c r="BN242" s="276">
        <v>0</v>
      </c>
      <c r="BO242" s="276">
        <v>0</v>
      </c>
      <c r="BP242" s="276">
        <v>0</v>
      </c>
    </row>
    <row r="243" spans="1:68" x14ac:dyDescent="0.35">
      <c r="A243" s="277" t="s">
        <v>563</v>
      </c>
      <c r="B243" s="277" t="s">
        <v>562</v>
      </c>
      <c r="C243" s="283" t="s">
        <v>697</v>
      </c>
      <c r="D243" s="277" t="s">
        <v>560</v>
      </c>
      <c r="F243" s="277" t="s">
        <v>703</v>
      </c>
      <c r="K243" s="277" t="s">
        <v>689</v>
      </c>
      <c r="L243" s="277" t="s">
        <v>557</v>
      </c>
      <c r="N243" s="277" t="s">
        <v>690</v>
      </c>
      <c r="O243" s="277" t="s">
        <v>689</v>
      </c>
      <c r="P243" s="277" t="s">
        <v>557</v>
      </c>
      <c r="Q243" s="277" t="s">
        <v>556</v>
      </c>
      <c r="R243" s="277" t="s">
        <v>689</v>
      </c>
      <c r="S243" s="276">
        <v>0</v>
      </c>
      <c r="T243" s="276">
        <v>0</v>
      </c>
      <c r="U243" s="276">
        <v>0</v>
      </c>
      <c r="V243" s="276">
        <v>0</v>
      </c>
      <c r="W243" s="276">
        <v>0</v>
      </c>
      <c r="X243" s="276">
        <v>0</v>
      </c>
      <c r="Y243" s="276">
        <v>0</v>
      </c>
      <c r="Z243" s="276">
        <v>0</v>
      </c>
      <c r="AA243" s="276">
        <v>0</v>
      </c>
      <c r="AB243" s="276">
        <v>0</v>
      </c>
      <c r="AC243" s="276"/>
      <c r="AD243" s="276">
        <v>0</v>
      </c>
      <c r="AE243" s="276"/>
      <c r="AF243" s="276">
        <v>0</v>
      </c>
      <c r="AG243" s="276">
        <v>0</v>
      </c>
      <c r="AH243" s="283" t="s">
        <v>483</v>
      </c>
      <c r="AJ243" s="281" t="s">
        <v>553</v>
      </c>
      <c r="AK243" s="280" t="s">
        <v>552</v>
      </c>
      <c r="AL243" s="276">
        <v>1.8</v>
      </c>
      <c r="AM243" s="279">
        <v>0</v>
      </c>
      <c r="AN243" s="276">
        <v>0</v>
      </c>
      <c r="AO243" s="276">
        <v>1.8</v>
      </c>
      <c r="AP243" s="279">
        <v>0</v>
      </c>
      <c r="AQ243" s="276">
        <v>0</v>
      </c>
      <c r="AR243" s="276">
        <v>0</v>
      </c>
      <c r="AS243" s="271">
        <v>2</v>
      </c>
      <c r="AT243" s="276">
        <v>0</v>
      </c>
      <c r="AU243" s="279">
        <v>0</v>
      </c>
      <c r="AV243" s="276">
        <v>0</v>
      </c>
      <c r="AW243" s="276">
        <v>0</v>
      </c>
      <c r="AX243" s="279">
        <v>0</v>
      </c>
      <c r="AY243" s="276">
        <v>0</v>
      </c>
      <c r="AZ243" s="276">
        <v>0</v>
      </c>
      <c r="BA243" s="278" t="s">
        <v>551</v>
      </c>
      <c r="BB243" s="276">
        <v>0</v>
      </c>
      <c r="BC243" s="279">
        <v>0</v>
      </c>
      <c r="BD243" s="276">
        <v>0</v>
      </c>
      <c r="BE243" s="276">
        <v>0</v>
      </c>
      <c r="BF243" s="279">
        <v>0</v>
      </c>
      <c r="BG243" s="276">
        <v>0</v>
      </c>
      <c r="BH243" s="276">
        <v>0</v>
      </c>
      <c r="BI243" s="278" t="s">
        <v>550</v>
      </c>
      <c r="BJ243" s="276">
        <v>0</v>
      </c>
      <c r="BK243" s="276">
        <v>0</v>
      </c>
      <c r="BL243" s="276">
        <v>0</v>
      </c>
      <c r="BM243" s="276">
        <v>0</v>
      </c>
      <c r="BN243" s="276">
        <v>0</v>
      </c>
      <c r="BO243" s="276">
        <v>0</v>
      </c>
      <c r="BP243" s="276">
        <v>0</v>
      </c>
    </row>
    <row r="244" spans="1:68" x14ac:dyDescent="0.35">
      <c r="A244" s="277" t="s">
        <v>563</v>
      </c>
      <c r="B244" s="277" t="s">
        <v>562</v>
      </c>
      <c r="C244" s="283" t="s">
        <v>702</v>
      </c>
      <c r="D244" s="277" t="s">
        <v>560</v>
      </c>
      <c r="F244" s="277" t="s">
        <v>701</v>
      </c>
      <c r="K244" s="277" t="s">
        <v>689</v>
      </c>
      <c r="L244" s="277" t="s">
        <v>557</v>
      </c>
      <c r="N244" s="277" t="s">
        <v>690</v>
      </c>
      <c r="O244" s="277" t="s">
        <v>689</v>
      </c>
      <c r="P244" s="277" t="s">
        <v>557</v>
      </c>
      <c r="Q244" s="277" t="s">
        <v>556</v>
      </c>
      <c r="R244" s="277" t="s">
        <v>689</v>
      </c>
      <c r="S244" s="276">
        <v>0</v>
      </c>
      <c r="T244" s="276">
        <v>0</v>
      </c>
      <c r="U244" s="276">
        <v>0</v>
      </c>
      <c r="V244" s="276">
        <v>0</v>
      </c>
      <c r="W244" s="276">
        <v>0</v>
      </c>
      <c r="X244" s="276">
        <v>0</v>
      </c>
      <c r="Y244" s="276">
        <v>0</v>
      </c>
      <c r="Z244" s="276">
        <v>0</v>
      </c>
      <c r="AA244" s="276">
        <v>0</v>
      </c>
      <c r="AB244" s="276">
        <v>0</v>
      </c>
      <c r="AC244" s="276"/>
      <c r="AD244" s="276">
        <v>0</v>
      </c>
      <c r="AE244" s="276"/>
      <c r="AF244" s="276">
        <v>0</v>
      </c>
      <c r="AG244" s="276">
        <v>0</v>
      </c>
      <c r="AH244" s="283" t="s">
        <v>86</v>
      </c>
      <c r="AI244" s="282" t="s">
        <v>700</v>
      </c>
      <c r="AJ244" s="281" t="s">
        <v>553</v>
      </c>
      <c r="AK244" s="280" t="s">
        <v>552</v>
      </c>
      <c r="AL244" s="276">
        <v>1.65</v>
      </c>
      <c r="AM244" s="279">
        <v>0</v>
      </c>
      <c r="AN244" s="276">
        <v>0</v>
      </c>
      <c r="AO244" s="276">
        <v>1.65</v>
      </c>
      <c r="AP244" s="279">
        <v>0</v>
      </c>
      <c r="AQ244" s="276">
        <v>0</v>
      </c>
      <c r="AR244" s="276">
        <v>0</v>
      </c>
      <c r="AS244" s="271">
        <v>2</v>
      </c>
      <c r="AT244" s="276">
        <v>0</v>
      </c>
      <c r="AU244" s="279">
        <v>0</v>
      </c>
      <c r="AV244" s="276">
        <v>0</v>
      </c>
      <c r="AW244" s="276">
        <v>0</v>
      </c>
      <c r="AX244" s="279">
        <v>0</v>
      </c>
      <c r="AY244" s="276">
        <v>0</v>
      </c>
      <c r="AZ244" s="276">
        <v>0</v>
      </c>
      <c r="BA244" s="278" t="s">
        <v>551</v>
      </c>
      <c r="BB244" s="276">
        <v>0</v>
      </c>
      <c r="BC244" s="279">
        <v>0</v>
      </c>
      <c r="BD244" s="276">
        <v>0</v>
      </c>
      <c r="BE244" s="276">
        <v>0</v>
      </c>
      <c r="BF244" s="279">
        <v>0</v>
      </c>
      <c r="BG244" s="276">
        <v>0</v>
      </c>
      <c r="BH244" s="276">
        <v>0</v>
      </c>
      <c r="BI244" s="278" t="s">
        <v>550</v>
      </c>
      <c r="BJ244" s="276">
        <v>0</v>
      </c>
      <c r="BK244" s="276">
        <v>0</v>
      </c>
      <c r="BL244" s="276">
        <v>0</v>
      </c>
      <c r="BM244" s="276">
        <v>0</v>
      </c>
      <c r="BN244" s="276">
        <v>0</v>
      </c>
      <c r="BO244" s="276">
        <v>0</v>
      </c>
      <c r="BP244" s="276">
        <v>0</v>
      </c>
    </row>
    <row r="245" spans="1:68" x14ac:dyDescent="0.35">
      <c r="A245" s="277" t="s">
        <v>563</v>
      </c>
      <c r="B245" s="277" t="s">
        <v>562</v>
      </c>
      <c r="C245" s="283" t="s">
        <v>699</v>
      </c>
      <c r="D245" s="277" t="s">
        <v>560</v>
      </c>
      <c r="F245" s="277" t="s">
        <v>698</v>
      </c>
      <c r="K245" s="277" t="s">
        <v>689</v>
      </c>
      <c r="L245" s="277" t="s">
        <v>557</v>
      </c>
      <c r="N245" s="277" t="s">
        <v>690</v>
      </c>
      <c r="O245" s="277" t="s">
        <v>689</v>
      </c>
      <c r="P245" s="277" t="s">
        <v>557</v>
      </c>
      <c r="Q245" s="277" t="s">
        <v>556</v>
      </c>
      <c r="R245" s="277" t="s">
        <v>689</v>
      </c>
      <c r="S245" s="276">
        <v>0</v>
      </c>
      <c r="T245" s="276">
        <v>0</v>
      </c>
      <c r="U245" s="276">
        <v>0</v>
      </c>
      <c r="V245" s="276">
        <v>0</v>
      </c>
      <c r="W245" s="276">
        <v>0</v>
      </c>
      <c r="X245" s="276">
        <v>0</v>
      </c>
      <c r="Y245" s="276">
        <v>0</v>
      </c>
      <c r="Z245" s="276">
        <v>0</v>
      </c>
      <c r="AA245" s="276">
        <v>0</v>
      </c>
      <c r="AB245" s="276">
        <v>0</v>
      </c>
      <c r="AC245" s="276"/>
      <c r="AD245" s="276">
        <v>0</v>
      </c>
      <c r="AE245" s="276"/>
      <c r="AF245" s="276">
        <v>0</v>
      </c>
      <c r="AG245" s="276">
        <v>0</v>
      </c>
      <c r="AH245" s="283" t="s">
        <v>86</v>
      </c>
      <c r="AI245" s="282" t="s">
        <v>697</v>
      </c>
      <c r="AJ245" s="281" t="s">
        <v>553</v>
      </c>
      <c r="AK245" s="280" t="s">
        <v>552</v>
      </c>
      <c r="AL245" s="276">
        <v>2.3199999999999998</v>
      </c>
      <c r="AM245" s="279">
        <v>0</v>
      </c>
      <c r="AN245" s="276">
        <v>0</v>
      </c>
      <c r="AO245" s="276">
        <v>2.3199999999999998</v>
      </c>
      <c r="AP245" s="279">
        <v>0</v>
      </c>
      <c r="AQ245" s="276">
        <v>0</v>
      </c>
      <c r="AR245" s="276">
        <v>0</v>
      </c>
      <c r="AS245" s="271">
        <v>2</v>
      </c>
      <c r="AT245" s="276">
        <v>0</v>
      </c>
      <c r="AU245" s="279">
        <v>0</v>
      </c>
      <c r="AV245" s="276">
        <v>0</v>
      </c>
      <c r="AW245" s="276">
        <v>0</v>
      </c>
      <c r="AX245" s="279">
        <v>0</v>
      </c>
      <c r="AY245" s="276">
        <v>0</v>
      </c>
      <c r="AZ245" s="276">
        <v>0</v>
      </c>
      <c r="BA245" s="278" t="s">
        <v>551</v>
      </c>
      <c r="BB245" s="276">
        <v>0</v>
      </c>
      <c r="BC245" s="279">
        <v>0</v>
      </c>
      <c r="BD245" s="276">
        <v>0</v>
      </c>
      <c r="BE245" s="276">
        <v>0</v>
      </c>
      <c r="BF245" s="279">
        <v>0</v>
      </c>
      <c r="BG245" s="276">
        <v>0</v>
      </c>
      <c r="BH245" s="276">
        <v>0</v>
      </c>
      <c r="BI245" s="278" t="s">
        <v>550</v>
      </c>
      <c r="BJ245" s="276">
        <v>0</v>
      </c>
      <c r="BK245" s="276">
        <v>0</v>
      </c>
      <c r="BL245" s="276">
        <v>0</v>
      </c>
      <c r="BM245" s="276">
        <v>0</v>
      </c>
      <c r="BN245" s="276">
        <v>0</v>
      </c>
      <c r="BO245" s="276">
        <v>0</v>
      </c>
      <c r="BP245" s="276">
        <v>0</v>
      </c>
    </row>
    <row r="246" spans="1:68" x14ac:dyDescent="0.35">
      <c r="A246" s="277" t="s">
        <v>563</v>
      </c>
      <c r="B246" s="277" t="s">
        <v>562</v>
      </c>
      <c r="C246" s="283" t="s">
        <v>696</v>
      </c>
      <c r="D246" s="277" t="s">
        <v>560</v>
      </c>
      <c r="F246" s="277" t="s">
        <v>695</v>
      </c>
      <c r="K246" s="277" t="s">
        <v>689</v>
      </c>
      <c r="L246" s="277" t="s">
        <v>557</v>
      </c>
      <c r="N246" s="277" t="s">
        <v>690</v>
      </c>
      <c r="O246" s="277" t="s">
        <v>689</v>
      </c>
      <c r="P246" s="277" t="s">
        <v>557</v>
      </c>
      <c r="Q246" s="277" t="s">
        <v>556</v>
      </c>
      <c r="R246" s="277" t="s">
        <v>689</v>
      </c>
      <c r="S246" s="276">
        <v>0</v>
      </c>
      <c r="T246" s="276">
        <v>0</v>
      </c>
      <c r="U246" s="276">
        <v>0</v>
      </c>
      <c r="V246" s="276">
        <v>0</v>
      </c>
      <c r="W246" s="276">
        <v>0</v>
      </c>
      <c r="X246" s="276">
        <v>0</v>
      </c>
      <c r="Y246" s="276">
        <v>0</v>
      </c>
      <c r="Z246" s="276">
        <v>0</v>
      </c>
      <c r="AA246" s="276">
        <v>0</v>
      </c>
      <c r="AB246" s="276">
        <v>0</v>
      </c>
      <c r="AC246" s="276"/>
      <c r="AD246" s="276">
        <v>0</v>
      </c>
      <c r="AE246" s="276"/>
      <c r="AF246" s="276">
        <v>0</v>
      </c>
      <c r="AG246" s="276">
        <v>0</v>
      </c>
      <c r="AH246" s="283" t="s">
        <v>86</v>
      </c>
      <c r="AI246" s="282" t="s">
        <v>694</v>
      </c>
      <c r="AJ246" s="281" t="s">
        <v>553</v>
      </c>
      <c r="AK246" s="280" t="s">
        <v>552</v>
      </c>
      <c r="AL246" s="276">
        <v>1.72</v>
      </c>
      <c r="AM246" s="279">
        <v>0</v>
      </c>
      <c r="AN246" s="276">
        <v>0</v>
      </c>
      <c r="AO246" s="276">
        <v>1.72</v>
      </c>
      <c r="AP246" s="279">
        <v>0</v>
      </c>
      <c r="AQ246" s="276">
        <v>0</v>
      </c>
      <c r="AR246" s="276">
        <v>0</v>
      </c>
      <c r="AS246" s="271">
        <v>2</v>
      </c>
      <c r="AT246" s="276">
        <v>0</v>
      </c>
      <c r="AU246" s="279">
        <v>0</v>
      </c>
      <c r="AV246" s="276">
        <v>0</v>
      </c>
      <c r="AW246" s="276">
        <v>0</v>
      </c>
      <c r="AX246" s="279">
        <v>0</v>
      </c>
      <c r="AY246" s="276">
        <v>0</v>
      </c>
      <c r="AZ246" s="276">
        <v>0</v>
      </c>
      <c r="BA246" s="278" t="s">
        <v>551</v>
      </c>
      <c r="BB246" s="276">
        <v>0</v>
      </c>
      <c r="BC246" s="279">
        <v>0</v>
      </c>
      <c r="BD246" s="276">
        <v>0</v>
      </c>
      <c r="BE246" s="276">
        <v>0</v>
      </c>
      <c r="BF246" s="279">
        <v>0</v>
      </c>
      <c r="BG246" s="276">
        <v>0</v>
      </c>
      <c r="BH246" s="276">
        <v>0</v>
      </c>
      <c r="BI246" s="278" t="s">
        <v>550</v>
      </c>
      <c r="BJ246" s="276">
        <v>0</v>
      </c>
      <c r="BK246" s="276">
        <v>0</v>
      </c>
      <c r="BL246" s="276">
        <v>0</v>
      </c>
      <c r="BM246" s="276">
        <v>0</v>
      </c>
      <c r="BN246" s="276">
        <v>0</v>
      </c>
      <c r="BO246" s="276">
        <v>0</v>
      </c>
      <c r="BP246" s="276">
        <v>0</v>
      </c>
    </row>
    <row r="247" spans="1:68" x14ac:dyDescent="0.35">
      <c r="A247" s="277" t="s">
        <v>563</v>
      </c>
      <c r="B247" s="277" t="s">
        <v>562</v>
      </c>
      <c r="C247" s="283" t="s">
        <v>694</v>
      </c>
      <c r="D247" s="277" t="s">
        <v>560</v>
      </c>
      <c r="F247" s="277" t="s">
        <v>693</v>
      </c>
      <c r="K247" s="277" t="s">
        <v>689</v>
      </c>
      <c r="L247" s="277" t="s">
        <v>557</v>
      </c>
      <c r="N247" s="277" t="s">
        <v>690</v>
      </c>
      <c r="O247" s="277" t="s">
        <v>689</v>
      </c>
      <c r="P247" s="277" t="s">
        <v>557</v>
      </c>
      <c r="Q247" s="277" t="s">
        <v>556</v>
      </c>
      <c r="R247" s="277" t="s">
        <v>689</v>
      </c>
      <c r="S247" s="276">
        <v>0</v>
      </c>
      <c r="T247" s="276">
        <v>0</v>
      </c>
      <c r="U247" s="276">
        <v>0</v>
      </c>
      <c r="V247" s="276">
        <v>0</v>
      </c>
      <c r="W247" s="276">
        <v>0</v>
      </c>
      <c r="X247" s="276">
        <v>0</v>
      </c>
      <c r="Y247" s="276">
        <v>0</v>
      </c>
      <c r="Z247" s="276">
        <v>0</v>
      </c>
      <c r="AA247" s="276">
        <v>0</v>
      </c>
      <c r="AB247" s="276">
        <v>0</v>
      </c>
      <c r="AC247" s="276"/>
      <c r="AD247" s="276">
        <v>0</v>
      </c>
      <c r="AE247" s="276"/>
      <c r="AF247" s="276">
        <v>0</v>
      </c>
      <c r="AG247" s="276">
        <v>0</v>
      </c>
      <c r="AH247" s="283" t="s">
        <v>483</v>
      </c>
      <c r="AJ247" s="281" t="s">
        <v>553</v>
      </c>
      <c r="AK247" s="280" t="s">
        <v>552</v>
      </c>
      <c r="AL247" s="276">
        <v>1.25</v>
      </c>
      <c r="AM247" s="279">
        <v>0</v>
      </c>
      <c r="AN247" s="276">
        <v>0</v>
      </c>
      <c r="AO247" s="276">
        <v>1.25</v>
      </c>
      <c r="AP247" s="279">
        <v>0</v>
      </c>
      <c r="AQ247" s="276">
        <v>0</v>
      </c>
      <c r="AR247" s="276">
        <v>0</v>
      </c>
      <c r="AS247" s="271">
        <v>2</v>
      </c>
      <c r="AT247" s="276">
        <v>0</v>
      </c>
      <c r="AU247" s="279">
        <v>0</v>
      </c>
      <c r="AV247" s="276">
        <v>0</v>
      </c>
      <c r="AW247" s="276">
        <v>0</v>
      </c>
      <c r="AX247" s="279">
        <v>0</v>
      </c>
      <c r="AY247" s="276">
        <v>0</v>
      </c>
      <c r="AZ247" s="276">
        <v>0</v>
      </c>
      <c r="BA247" s="278" t="s">
        <v>551</v>
      </c>
      <c r="BB247" s="276">
        <v>0</v>
      </c>
      <c r="BC247" s="279">
        <v>0</v>
      </c>
      <c r="BD247" s="276">
        <v>0</v>
      </c>
      <c r="BE247" s="276">
        <v>0</v>
      </c>
      <c r="BF247" s="279">
        <v>0</v>
      </c>
      <c r="BG247" s="276">
        <v>0</v>
      </c>
      <c r="BH247" s="276">
        <v>0</v>
      </c>
      <c r="BI247" s="278" t="s">
        <v>550</v>
      </c>
      <c r="BJ247" s="276">
        <v>0</v>
      </c>
      <c r="BK247" s="276">
        <v>0</v>
      </c>
      <c r="BL247" s="276">
        <v>0</v>
      </c>
      <c r="BM247" s="276">
        <v>0</v>
      </c>
      <c r="BN247" s="276">
        <v>0</v>
      </c>
      <c r="BO247" s="276">
        <v>0</v>
      </c>
      <c r="BP247" s="276">
        <v>0</v>
      </c>
    </row>
    <row r="248" spans="1:68" x14ac:dyDescent="0.35">
      <c r="A248" s="277" t="s">
        <v>563</v>
      </c>
      <c r="B248" s="277" t="s">
        <v>562</v>
      </c>
      <c r="C248" s="283" t="s">
        <v>692</v>
      </c>
      <c r="D248" s="277" t="s">
        <v>560</v>
      </c>
      <c r="F248" s="277" t="s">
        <v>691</v>
      </c>
      <c r="K248" s="277" t="s">
        <v>689</v>
      </c>
      <c r="L248" s="277" t="s">
        <v>557</v>
      </c>
      <c r="N248" s="277" t="s">
        <v>690</v>
      </c>
      <c r="O248" s="277" t="s">
        <v>689</v>
      </c>
      <c r="P248" s="277" t="s">
        <v>557</v>
      </c>
      <c r="Q248" s="277" t="s">
        <v>556</v>
      </c>
      <c r="R248" s="277" t="s">
        <v>689</v>
      </c>
      <c r="S248" s="276">
        <v>0</v>
      </c>
      <c r="T248" s="276">
        <v>0</v>
      </c>
      <c r="U248" s="276">
        <v>0</v>
      </c>
      <c r="V248" s="276">
        <v>0</v>
      </c>
      <c r="W248" s="276">
        <v>0</v>
      </c>
      <c r="X248" s="276">
        <v>0</v>
      </c>
      <c r="Y248" s="276">
        <v>0</v>
      </c>
      <c r="Z248" s="276">
        <v>0</v>
      </c>
      <c r="AA248" s="276">
        <v>0</v>
      </c>
      <c r="AB248" s="276">
        <v>0</v>
      </c>
      <c r="AC248" s="276"/>
      <c r="AD248" s="276">
        <v>0</v>
      </c>
      <c r="AE248" s="276"/>
      <c r="AF248" s="276">
        <v>0</v>
      </c>
      <c r="AG248" s="276">
        <v>0</v>
      </c>
      <c r="AH248" s="283" t="s">
        <v>483</v>
      </c>
      <c r="AJ248" s="281" t="s">
        <v>553</v>
      </c>
      <c r="AK248" s="280" t="s">
        <v>552</v>
      </c>
      <c r="AL248" s="276">
        <v>1.1499999999999999</v>
      </c>
      <c r="AM248" s="279">
        <v>0</v>
      </c>
      <c r="AN248" s="276">
        <v>0</v>
      </c>
      <c r="AO248" s="276">
        <v>1.1499999999999999</v>
      </c>
      <c r="AP248" s="279">
        <v>0</v>
      </c>
      <c r="AQ248" s="276">
        <v>0</v>
      </c>
      <c r="AR248" s="276">
        <v>0</v>
      </c>
      <c r="AS248" s="271">
        <v>2</v>
      </c>
      <c r="AT248" s="276">
        <v>0</v>
      </c>
      <c r="AU248" s="279">
        <v>0</v>
      </c>
      <c r="AV248" s="276">
        <v>0</v>
      </c>
      <c r="AW248" s="276">
        <v>0</v>
      </c>
      <c r="AX248" s="279">
        <v>0</v>
      </c>
      <c r="AY248" s="276">
        <v>0</v>
      </c>
      <c r="AZ248" s="276">
        <v>0</v>
      </c>
      <c r="BA248" s="278" t="s">
        <v>551</v>
      </c>
      <c r="BB248" s="276">
        <v>0</v>
      </c>
      <c r="BC248" s="279">
        <v>0</v>
      </c>
      <c r="BD248" s="276">
        <v>0</v>
      </c>
      <c r="BE248" s="276">
        <v>0</v>
      </c>
      <c r="BF248" s="279">
        <v>0</v>
      </c>
      <c r="BG248" s="276">
        <v>0</v>
      </c>
      <c r="BH248" s="276">
        <v>0</v>
      </c>
      <c r="BI248" s="278" t="s">
        <v>550</v>
      </c>
      <c r="BJ248" s="276">
        <v>0</v>
      </c>
      <c r="BK248" s="276">
        <v>0</v>
      </c>
      <c r="BL248" s="276">
        <v>0</v>
      </c>
      <c r="BM248" s="276">
        <v>0</v>
      </c>
      <c r="BN248" s="276">
        <v>0</v>
      </c>
      <c r="BO248" s="276">
        <v>0</v>
      </c>
      <c r="BP248" s="276">
        <v>0</v>
      </c>
    </row>
    <row r="249" spans="1:68" x14ac:dyDescent="0.35">
      <c r="A249" s="277" t="s">
        <v>563</v>
      </c>
      <c r="B249" s="277" t="s">
        <v>562</v>
      </c>
      <c r="C249" s="283" t="s">
        <v>688</v>
      </c>
      <c r="D249" s="277" t="s">
        <v>560</v>
      </c>
      <c r="F249" s="277" t="s">
        <v>687</v>
      </c>
      <c r="K249" s="277" t="s">
        <v>555</v>
      </c>
      <c r="L249" s="277" t="s">
        <v>557</v>
      </c>
      <c r="N249" s="277" t="s">
        <v>558</v>
      </c>
      <c r="O249" s="277" t="s">
        <v>555</v>
      </c>
      <c r="P249" s="277" t="s">
        <v>557</v>
      </c>
      <c r="Q249" s="277" t="s">
        <v>556</v>
      </c>
      <c r="R249" s="277" t="s">
        <v>555</v>
      </c>
      <c r="S249" s="276">
        <v>0</v>
      </c>
      <c r="T249" s="276">
        <v>0</v>
      </c>
      <c r="U249" s="276">
        <v>0</v>
      </c>
      <c r="V249" s="276">
        <v>0</v>
      </c>
      <c r="W249" s="276">
        <v>0</v>
      </c>
      <c r="X249" s="276">
        <v>0</v>
      </c>
      <c r="Y249" s="276">
        <v>0</v>
      </c>
      <c r="Z249" s="276">
        <v>0</v>
      </c>
      <c r="AA249" s="276">
        <v>0</v>
      </c>
      <c r="AB249" s="276">
        <v>0</v>
      </c>
      <c r="AC249" s="276"/>
      <c r="AD249" s="276">
        <v>0</v>
      </c>
      <c r="AE249" s="276"/>
      <c r="AF249" s="276">
        <v>0</v>
      </c>
      <c r="AG249" s="276">
        <v>0</v>
      </c>
      <c r="AH249" s="283" t="s">
        <v>483</v>
      </c>
      <c r="AJ249" s="281" t="s">
        <v>553</v>
      </c>
      <c r="AK249" s="280" t="s">
        <v>552</v>
      </c>
      <c r="AL249" s="276">
        <v>0</v>
      </c>
      <c r="AM249" s="279">
        <v>0</v>
      </c>
      <c r="AN249" s="276">
        <v>103</v>
      </c>
      <c r="AO249" s="276">
        <v>0</v>
      </c>
      <c r="AP249" s="279">
        <v>0</v>
      </c>
      <c r="AQ249" s="276">
        <v>0</v>
      </c>
      <c r="AR249" s="276">
        <v>0</v>
      </c>
      <c r="AS249" s="271">
        <v>2</v>
      </c>
      <c r="AT249" s="276">
        <v>0</v>
      </c>
      <c r="AU249" s="279">
        <v>0</v>
      </c>
      <c r="AV249" s="276">
        <v>0</v>
      </c>
      <c r="AW249" s="276">
        <v>0</v>
      </c>
      <c r="AX249" s="279">
        <v>0</v>
      </c>
      <c r="AY249" s="276">
        <v>0</v>
      </c>
      <c r="AZ249" s="276">
        <v>0</v>
      </c>
      <c r="BA249" s="278" t="s">
        <v>551</v>
      </c>
      <c r="BB249" s="276">
        <v>0</v>
      </c>
      <c r="BC249" s="279">
        <v>0</v>
      </c>
      <c r="BD249" s="276">
        <v>0</v>
      </c>
      <c r="BE249" s="276">
        <v>0</v>
      </c>
      <c r="BF249" s="279">
        <v>0</v>
      </c>
      <c r="BG249" s="276">
        <v>0</v>
      </c>
      <c r="BH249" s="276">
        <v>0</v>
      </c>
      <c r="BI249" s="278" t="s">
        <v>550</v>
      </c>
      <c r="BJ249" s="276">
        <v>0</v>
      </c>
      <c r="BK249" s="276">
        <v>0</v>
      </c>
      <c r="BL249" s="276">
        <v>0</v>
      </c>
      <c r="BM249" s="276">
        <v>0</v>
      </c>
      <c r="BN249" s="276">
        <v>0</v>
      </c>
      <c r="BO249" s="276">
        <v>0</v>
      </c>
      <c r="BP249" s="276">
        <v>0</v>
      </c>
    </row>
    <row r="250" spans="1:68" x14ac:dyDescent="0.35">
      <c r="A250" s="277" t="s">
        <v>563</v>
      </c>
      <c r="B250" s="277" t="s">
        <v>562</v>
      </c>
      <c r="C250" s="283" t="s">
        <v>686</v>
      </c>
      <c r="D250" s="277" t="s">
        <v>560</v>
      </c>
      <c r="F250" s="277" t="s">
        <v>685</v>
      </c>
      <c r="K250" s="277" t="s">
        <v>555</v>
      </c>
      <c r="L250" s="277" t="s">
        <v>557</v>
      </c>
      <c r="N250" s="277" t="s">
        <v>558</v>
      </c>
      <c r="O250" s="277" t="s">
        <v>555</v>
      </c>
      <c r="P250" s="277" t="s">
        <v>557</v>
      </c>
      <c r="Q250" s="277" t="s">
        <v>556</v>
      </c>
      <c r="R250" s="277" t="s">
        <v>555</v>
      </c>
      <c r="S250" s="276">
        <v>0</v>
      </c>
      <c r="T250" s="276">
        <v>0</v>
      </c>
      <c r="U250" s="276">
        <v>0</v>
      </c>
      <c r="V250" s="276">
        <v>0</v>
      </c>
      <c r="W250" s="276">
        <v>0</v>
      </c>
      <c r="X250" s="276">
        <v>0</v>
      </c>
      <c r="Y250" s="276">
        <v>0</v>
      </c>
      <c r="Z250" s="276">
        <v>0</v>
      </c>
      <c r="AA250" s="276">
        <v>0</v>
      </c>
      <c r="AB250" s="276">
        <v>0</v>
      </c>
      <c r="AC250" s="276"/>
      <c r="AD250" s="276">
        <v>0</v>
      </c>
      <c r="AE250" s="276"/>
      <c r="AF250" s="276">
        <v>0</v>
      </c>
      <c r="AG250" s="276">
        <v>0</v>
      </c>
      <c r="AH250" s="283" t="s">
        <v>483</v>
      </c>
      <c r="AJ250" s="281" t="s">
        <v>553</v>
      </c>
      <c r="AK250" s="280" t="s">
        <v>552</v>
      </c>
      <c r="AL250" s="276">
        <v>0</v>
      </c>
      <c r="AM250" s="279">
        <v>0</v>
      </c>
      <c r="AN250" s="276">
        <v>42</v>
      </c>
      <c r="AO250" s="276">
        <v>0</v>
      </c>
      <c r="AP250" s="279">
        <v>0</v>
      </c>
      <c r="AQ250" s="276">
        <v>0</v>
      </c>
      <c r="AR250" s="276">
        <v>0</v>
      </c>
      <c r="AS250" s="271">
        <v>2</v>
      </c>
      <c r="AT250" s="276">
        <v>0</v>
      </c>
      <c r="AU250" s="279">
        <v>0</v>
      </c>
      <c r="AV250" s="276">
        <v>0</v>
      </c>
      <c r="AW250" s="276">
        <v>0</v>
      </c>
      <c r="AX250" s="279">
        <v>0</v>
      </c>
      <c r="AY250" s="276">
        <v>0</v>
      </c>
      <c r="AZ250" s="276">
        <v>0</v>
      </c>
      <c r="BA250" s="278" t="s">
        <v>551</v>
      </c>
      <c r="BB250" s="276">
        <v>0</v>
      </c>
      <c r="BC250" s="279">
        <v>0</v>
      </c>
      <c r="BD250" s="276">
        <v>0</v>
      </c>
      <c r="BE250" s="276">
        <v>0</v>
      </c>
      <c r="BF250" s="279">
        <v>0</v>
      </c>
      <c r="BG250" s="276">
        <v>0</v>
      </c>
      <c r="BH250" s="276">
        <v>0</v>
      </c>
      <c r="BI250" s="278" t="s">
        <v>550</v>
      </c>
      <c r="BJ250" s="276">
        <v>0</v>
      </c>
      <c r="BK250" s="276">
        <v>0</v>
      </c>
      <c r="BL250" s="276">
        <v>0</v>
      </c>
      <c r="BM250" s="276">
        <v>0</v>
      </c>
      <c r="BN250" s="276">
        <v>0</v>
      </c>
      <c r="BO250" s="276">
        <v>0</v>
      </c>
      <c r="BP250" s="276">
        <v>0</v>
      </c>
    </row>
    <row r="251" spans="1:68" x14ac:dyDescent="0.35">
      <c r="A251" s="277" t="s">
        <v>563</v>
      </c>
      <c r="B251" s="277" t="s">
        <v>562</v>
      </c>
      <c r="C251" s="283" t="s">
        <v>684</v>
      </c>
      <c r="D251" s="277" t="s">
        <v>560</v>
      </c>
      <c r="F251" s="277" t="s">
        <v>683</v>
      </c>
      <c r="K251" s="277" t="s">
        <v>555</v>
      </c>
      <c r="L251" s="277" t="s">
        <v>557</v>
      </c>
      <c r="N251" s="277" t="s">
        <v>558</v>
      </c>
      <c r="O251" s="277" t="s">
        <v>555</v>
      </c>
      <c r="P251" s="277" t="s">
        <v>557</v>
      </c>
      <c r="Q251" s="277" t="s">
        <v>556</v>
      </c>
      <c r="R251" s="277" t="s">
        <v>555</v>
      </c>
      <c r="S251" s="276">
        <v>1512</v>
      </c>
      <c r="T251" s="276">
        <v>0</v>
      </c>
      <c r="U251" s="276">
        <v>0</v>
      </c>
      <c r="V251" s="276">
        <v>0</v>
      </c>
      <c r="W251" s="276">
        <v>0</v>
      </c>
      <c r="X251" s="276">
        <v>0</v>
      </c>
      <c r="Y251" s="276">
        <v>0</v>
      </c>
      <c r="Z251" s="276">
        <v>0</v>
      </c>
      <c r="AA251" s="276">
        <v>0</v>
      </c>
      <c r="AB251" s="276">
        <v>0</v>
      </c>
      <c r="AC251" s="276"/>
      <c r="AD251" s="276">
        <v>0</v>
      </c>
      <c r="AE251" s="276"/>
      <c r="AF251" s="276">
        <v>0</v>
      </c>
      <c r="AG251" s="276">
        <v>0</v>
      </c>
      <c r="AH251" s="283" t="s">
        <v>483</v>
      </c>
      <c r="AJ251" s="281" t="s">
        <v>553</v>
      </c>
      <c r="AK251" s="280" t="s">
        <v>552</v>
      </c>
      <c r="AL251" s="276">
        <v>0</v>
      </c>
      <c r="AM251" s="279">
        <v>0</v>
      </c>
      <c r="AN251" s="276">
        <v>15</v>
      </c>
      <c r="AO251" s="276">
        <v>0</v>
      </c>
      <c r="AP251" s="279">
        <v>0</v>
      </c>
      <c r="AQ251" s="276">
        <v>0</v>
      </c>
      <c r="AR251" s="276">
        <v>0</v>
      </c>
      <c r="AS251" s="271">
        <v>2</v>
      </c>
      <c r="AT251" s="276">
        <v>0</v>
      </c>
      <c r="AU251" s="279">
        <v>0</v>
      </c>
      <c r="AV251" s="276">
        <v>0</v>
      </c>
      <c r="AW251" s="276">
        <v>0</v>
      </c>
      <c r="AX251" s="279">
        <v>0</v>
      </c>
      <c r="AY251" s="276">
        <v>0</v>
      </c>
      <c r="AZ251" s="276">
        <v>0</v>
      </c>
      <c r="BA251" s="278" t="s">
        <v>551</v>
      </c>
      <c r="BB251" s="276">
        <v>0</v>
      </c>
      <c r="BC251" s="279">
        <v>0</v>
      </c>
      <c r="BD251" s="276">
        <v>0</v>
      </c>
      <c r="BE251" s="276">
        <v>0</v>
      </c>
      <c r="BF251" s="279">
        <v>0</v>
      </c>
      <c r="BG251" s="276">
        <v>0</v>
      </c>
      <c r="BH251" s="276">
        <v>0</v>
      </c>
      <c r="BI251" s="278" t="s">
        <v>550</v>
      </c>
      <c r="BJ251" s="276">
        <v>0</v>
      </c>
      <c r="BK251" s="276">
        <v>0</v>
      </c>
      <c r="BL251" s="276">
        <v>0</v>
      </c>
      <c r="BM251" s="276">
        <v>0</v>
      </c>
      <c r="BN251" s="276">
        <v>0</v>
      </c>
      <c r="BO251" s="276">
        <v>0</v>
      </c>
      <c r="BP251" s="276">
        <v>0</v>
      </c>
    </row>
    <row r="252" spans="1:68" x14ac:dyDescent="0.35">
      <c r="A252" s="277" t="s">
        <v>563</v>
      </c>
      <c r="B252" s="277" t="s">
        <v>562</v>
      </c>
      <c r="C252" s="283" t="s">
        <v>682</v>
      </c>
      <c r="D252" s="277" t="s">
        <v>560</v>
      </c>
      <c r="F252" s="277" t="s">
        <v>681</v>
      </c>
      <c r="K252" s="277" t="s">
        <v>555</v>
      </c>
      <c r="L252" s="277" t="s">
        <v>557</v>
      </c>
      <c r="N252" s="277" t="s">
        <v>558</v>
      </c>
      <c r="O252" s="277" t="s">
        <v>555</v>
      </c>
      <c r="P252" s="277" t="s">
        <v>557</v>
      </c>
      <c r="Q252" s="277" t="s">
        <v>556</v>
      </c>
      <c r="R252" s="277" t="s">
        <v>555</v>
      </c>
      <c r="S252" s="276">
        <v>0</v>
      </c>
      <c r="T252" s="276">
        <v>0</v>
      </c>
      <c r="U252" s="276">
        <v>0</v>
      </c>
      <c r="V252" s="276">
        <v>0</v>
      </c>
      <c r="W252" s="276">
        <v>0</v>
      </c>
      <c r="X252" s="276">
        <v>0</v>
      </c>
      <c r="Y252" s="276">
        <v>0</v>
      </c>
      <c r="Z252" s="276">
        <v>0</v>
      </c>
      <c r="AA252" s="276">
        <v>0</v>
      </c>
      <c r="AB252" s="276">
        <v>0</v>
      </c>
      <c r="AC252" s="276"/>
      <c r="AD252" s="276">
        <v>0</v>
      </c>
      <c r="AE252" s="276"/>
      <c r="AF252" s="276">
        <v>0</v>
      </c>
      <c r="AG252" s="276">
        <v>0</v>
      </c>
      <c r="AH252" s="283" t="s">
        <v>86</v>
      </c>
      <c r="AI252" s="282" t="s">
        <v>677</v>
      </c>
      <c r="AJ252" s="281" t="s">
        <v>553</v>
      </c>
      <c r="AK252" s="280" t="s">
        <v>552</v>
      </c>
      <c r="AL252" s="276">
        <v>2.8</v>
      </c>
      <c r="AM252" s="279">
        <v>0</v>
      </c>
      <c r="AN252" s="276">
        <v>0</v>
      </c>
      <c r="AO252" s="276">
        <v>2.8</v>
      </c>
      <c r="AP252" s="279">
        <v>0</v>
      </c>
      <c r="AQ252" s="276">
        <v>0</v>
      </c>
      <c r="AR252" s="276">
        <v>0</v>
      </c>
      <c r="AS252" s="271">
        <v>2</v>
      </c>
      <c r="AT252" s="276">
        <v>0</v>
      </c>
      <c r="AU252" s="279">
        <v>0</v>
      </c>
      <c r="AV252" s="276">
        <v>0</v>
      </c>
      <c r="AW252" s="276">
        <v>0</v>
      </c>
      <c r="AX252" s="279">
        <v>0</v>
      </c>
      <c r="AY252" s="276">
        <v>0</v>
      </c>
      <c r="AZ252" s="276">
        <v>0</v>
      </c>
      <c r="BA252" s="278" t="s">
        <v>551</v>
      </c>
      <c r="BB252" s="276">
        <v>0</v>
      </c>
      <c r="BC252" s="279">
        <v>0</v>
      </c>
      <c r="BD252" s="276">
        <v>0</v>
      </c>
      <c r="BE252" s="276">
        <v>0</v>
      </c>
      <c r="BF252" s="279">
        <v>0</v>
      </c>
      <c r="BG252" s="276">
        <v>0</v>
      </c>
      <c r="BH252" s="276">
        <v>0</v>
      </c>
      <c r="BI252" s="278" t="s">
        <v>550</v>
      </c>
      <c r="BJ252" s="276">
        <v>0</v>
      </c>
      <c r="BK252" s="276">
        <v>0</v>
      </c>
      <c r="BL252" s="276">
        <v>0</v>
      </c>
      <c r="BM252" s="276">
        <v>0</v>
      </c>
      <c r="BN252" s="276">
        <v>0</v>
      </c>
      <c r="BO252" s="276">
        <v>0</v>
      </c>
      <c r="BP252" s="276">
        <v>0</v>
      </c>
    </row>
    <row r="253" spans="1:68" x14ac:dyDescent="0.35">
      <c r="A253" s="277" t="s">
        <v>563</v>
      </c>
      <c r="B253" s="277" t="s">
        <v>562</v>
      </c>
      <c r="C253" s="283" t="s">
        <v>680</v>
      </c>
      <c r="D253" s="277" t="s">
        <v>560</v>
      </c>
      <c r="F253" s="277" t="s">
        <v>679</v>
      </c>
      <c r="K253" s="277" t="s">
        <v>555</v>
      </c>
      <c r="L253" s="277" t="s">
        <v>557</v>
      </c>
      <c r="N253" s="277" t="s">
        <v>558</v>
      </c>
      <c r="O253" s="277" t="s">
        <v>555</v>
      </c>
      <c r="P253" s="277" t="s">
        <v>557</v>
      </c>
      <c r="Q253" s="277" t="s">
        <v>556</v>
      </c>
      <c r="R253" s="277" t="s">
        <v>555</v>
      </c>
      <c r="S253" s="276">
        <v>0</v>
      </c>
      <c r="T253" s="276">
        <v>0</v>
      </c>
      <c r="U253" s="276">
        <v>0</v>
      </c>
      <c r="V253" s="276">
        <v>0</v>
      </c>
      <c r="W253" s="276">
        <v>0</v>
      </c>
      <c r="X253" s="276">
        <v>0</v>
      </c>
      <c r="Y253" s="276">
        <v>0</v>
      </c>
      <c r="Z253" s="276">
        <v>0</v>
      </c>
      <c r="AA253" s="276">
        <v>0</v>
      </c>
      <c r="AB253" s="276">
        <v>0</v>
      </c>
      <c r="AC253" s="276"/>
      <c r="AD253" s="276">
        <v>0</v>
      </c>
      <c r="AE253" s="276"/>
      <c r="AF253" s="276">
        <v>0</v>
      </c>
      <c r="AG253" s="276">
        <v>0</v>
      </c>
      <c r="AH253" s="283" t="s">
        <v>86</v>
      </c>
      <c r="AI253" s="282" t="s">
        <v>675</v>
      </c>
      <c r="AJ253" s="281" t="s">
        <v>553</v>
      </c>
      <c r="AK253" s="280" t="s">
        <v>552</v>
      </c>
      <c r="AL253" s="276">
        <v>1.25</v>
      </c>
      <c r="AM253" s="279">
        <v>0</v>
      </c>
      <c r="AN253" s="276">
        <v>0</v>
      </c>
      <c r="AO253" s="276">
        <v>1.25</v>
      </c>
      <c r="AP253" s="279">
        <v>0</v>
      </c>
      <c r="AQ253" s="276">
        <v>0</v>
      </c>
      <c r="AR253" s="276">
        <v>0</v>
      </c>
      <c r="AS253" s="271">
        <v>2</v>
      </c>
      <c r="AT253" s="276">
        <v>0</v>
      </c>
      <c r="AU253" s="279">
        <v>0</v>
      </c>
      <c r="AV253" s="276">
        <v>0</v>
      </c>
      <c r="AW253" s="276">
        <v>0</v>
      </c>
      <c r="AX253" s="279">
        <v>0</v>
      </c>
      <c r="AY253" s="276">
        <v>0</v>
      </c>
      <c r="AZ253" s="276">
        <v>0</v>
      </c>
      <c r="BA253" s="278" t="s">
        <v>551</v>
      </c>
      <c r="BB253" s="276">
        <v>0</v>
      </c>
      <c r="BC253" s="279">
        <v>0</v>
      </c>
      <c r="BD253" s="276">
        <v>0</v>
      </c>
      <c r="BE253" s="276">
        <v>0</v>
      </c>
      <c r="BF253" s="279">
        <v>0</v>
      </c>
      <c r="BG253" s="276">
        <v>0</v>
      </c>
      <c r="BH253" s="276">
        <v>0</v>
      </c>
      <c r="BI253" s="278" t="s">
        <v>550</v>
      </c>
      <c r="BJ253" s="276">
        <v>0</v>
      </c>
      <c r="BK253" s="276">
        <v>0</v>
      </c>
      <c r="BL253" s="276">
        <v>0</v>
      </c>
      <c r="BM253" s="276">
        <v>0</v>
      </c>
      <c r="BN253" s="276">
        <v>0</v>
      </c>
      <c r="BO253" s="276">
        <v>0</v>
      </c>
      <c r="BP253" s="276">
        <v>0</v>
      </c>
    </row>
    <row r="254" spans="1:68" x14ac:dyDescent="0.35">
      <c r="A254" s="277" t="s">
        <v>563</v>
      </c>
      <c r="B254" s="277" t="s">
        <v>562</v>
      </c>
      <c r="C254" s="283" t="s">
        <v>580</v>
      </c>
      <c r="D254" s="277" t="s">
        <v>560</v>
      </c>
      <c r="F254" s="277" t="s">
        <v>678</v>
      </c>
      <c r="K254" s="277" t="s">
        <v>555</v>
      </c>
      <c r="L254" s="277" t="s">
        <v>557</v>
      </c>
      <c r="N254" s="277" t="s">
        <v>558</v>
      </c>
      <c r="O254" s="277" t="s">
        <v>555</v>
      </c>
      <c r="P254" s="277" t="s">
        <v>557</v>
      </c>
      <c r="Q254" s="277" t="s">
        <v>556</v>
      </c>
      <c r="R254" s="277" t="s">
        <v>555</v>
      </c>
      <c r="S254" s="276">
        <v>0</v>
      </c>
      <c r="T254" s="276">
        <v>0</v>
      </c>
      <c r="U254" s="276">
        <v>0</v>
      </c>
      <c r="V254" s="276">
        <v>0</v>
      </c>
      <c r="W254" s="276">
        <v>0</v>
      </c>
      <c r="X254" s="276">
        <v>0</v>
      </c>
      <c r="Y254" s="276">
        <v>0</v>
      </c>
      <c r="Z254" s="276">
        <v>0</v>
      </c>
      <c r="AA254" s="276">
        <v>0</v>
      </c>
      <c r="AB254" s="276">
        <v>0</v>
      </c>
      <c r="AC254" s="276"/>
      <c r="AD254" s="276">
        <v>0</v>
      </c>
      <c r="AE254" s="276"/>
      <c r="AF254" s="276">
        <v>0</v>
      </c>
      <c r="AG254" s="276">
        <v>0</v>
      </c>
      <c r="AH254" s="283" t="s">
        <v>483</v>
      </c>
      <c r="AJ254" s="281" t="s">
        <v>553</v>
      </c>
      <c r="AK254" s="280" t="s">
        <v>552</v>
      </c>
      <c r="AL254" s="276">
        <v>0.74</v>
      </c>
      <c r="AM254" s="279">
        <v>0</v>
      </c>
      <c r="AN254" s="276">
        <v>0</v>
      </c>
      <c r="AO254" s="276">
        <v>0.74</v>
      </c>
      <c r="AP254" s="279">
        <v>0</v>
      </c>
      <c r="AQ254" s="276">
        <v>0</v>
      </c>
      <c r="AR254" s="276">
        <v>0</v>
      </c>
      <c r="AS254" s="271">
        <v>2</v>
      </c>
      <c r="AT254" s="276">
        <v>0</v>
      </c>
      <c r="AU254" s="279">
        <v>0</v>
      </c>
      <c r="AV254" s="276">
        <v>0</v>
      </c>
      <c r="AW254" s="276">
        <v>0</v>
      </c>
      <c r="AX254" s="279">
        <v>0</v>
      </c>
      <c r="AY254" s="276">
        <v>0</v>
      </c>
      <c r="AZ254" s="276">
        <v>0</v>
      </c>
      <c r="BA254" s="278" t="s">
        <v>551</v>
      </c>
      <c r="BB254" s="276">
        <v>0</v>
      </c>
      <c r="BC254" s="279">
        <v>0</v>
      </c>
      <c r="BD254" s="276">
        <v>0</v>
      </c>
      <c r="BE254" s="276">
        <v>0</v>
      </c>
      <c r="BF254" s="279">
        <v>0</v>
      </c>
      <c r="BG254" s="276">
        <v>0</v>
      </c>
      <c r="BH254" s="276">
        <v>0</v>
      </c>
      <c r="BI254" s="278" t="s">
        <v>550</v>
      </c>
      <c r="BJ254" s="276">
        <v>0</v>
      </c>
      <c r="BK254" s="276">
        <v>0</v>
      </c>
      <c r="BL254" s="276">
        <v>0</v>
      </c>
      <c r="BM254" s="276">
        <v>0</v>
      </c>
      <c r="BN254" s="276">
        <v>0</v>
      </c>
      <c r="BO254" s="276">
        <v>0</v>
      </c>
      <c r="BP254" s="276">
        <v>0</v>
      </c>
    </row>
    <row r="255" spans="1:68" x14ac:dyDescent="0.35">
      <c r="A255" s="277" t="s">
        <v>563</v>
      </c>
      <c r="B255" s="277" t="s">
        <v>562</v>
      </c>
      <c r="C255" s="283" t="s">
        <v>677</v>
      </c>
      <c r="D255" s="277" t="s">
        <v>560</v>
      </c>
      <c r="F255" s="277" t="s">
        <v>676</v>
      </c>
      <c r="K255" s="277" t="s">
        <v>555</v>
      </c>
      <c r="L255" s="277" t="s">
        <v>557</v>
      </c>
      <c r="N255" s="277" t="s">
        <v>558</v>
      </c>
      <c r="O255" s="277" t="s">
        <v>555</v>
      </c>
      <c r="P255" s="277" t="s">
        <v>557</v>
      </c>
      <c r="Q255" s="277" t="s">
        <v>556</v>
      </c>
      <c r="R255" s="277" t="s">
        <v>555</v>
      </c>
      <c r="S255" s="276">
        <v>0</v>
      </c>
      <c r="T255" s="276">
        <v>0</v>
      </c>
      <c r="U255" s="276">
        <v>0</v>
      </c>
      <c r="V255" s="276">
        <v>0</v>
      </c>
      <c r="W255" s="276">
        <v>0</v>
      </c>
      <c r="X255" s="276">
        <v>0</v>
      </c>
      <c r="Y255" s="276">
        <v>0</v>
      </c>
      <c r="Z255" s="276">
        <v>0</v>
      </c>
      <c r="AA255" s="276">
        <v>0</v>
      </c>
      <c r="AB255" s="276">
        <v>0</v>
      </c>
      <c r="AC255" s="276"/>
      <c r="AD255" s="276">
        <v>0</v>
      </c>
      <c r="AE255" s="276"/>
      <c r="AF255" s="276">
        <v>0</v>
      </c>
      <c r="AG255" s="276">
        <v>0</v>
      </c>
      <c r="AH255" s="283" t="s">
        <v>483</v>
      </c>
      <c r="AJ255" s="281" t="s">
        <v>553</v>
      </c>
      <c r="AK255" s="280" t="s">
        <v>552</v>
      </c>
      <c r="AL255" s="276">
        <v>1.18</v>
      </c>
      <c r="AM255" s="279">
        <v>0</v>
      </c>
      <c r="AN255" s="276">
        <v>0</v>
      </c>
      <c r="AO255" s="276">
        <v>1.18</v>
      </c>
      <c r="AP255" s="279">
        <v>0</v>
      </c>
      <c r="AQ255" s="276">
        <v>0</v>
      </c>
      <c r="AR255" s="276">
        <v>0</v>
      </c>
      <c r="AS255" s="271">
        <v>2</v>
      </c>
      <c r="AT255" s="276">
        <v>0</v>
      </c>
      <c r="AU255" s="279">
        <v>0</v>
      </c>
      <c r="AV255" s="276">
        <v>0</v>
      </c>
      <c r="AW255" s="276">
        <v>0</v>
      </c>
      <c r="AX255" s="279">
        <v>0</v>
      </c>
      <c r="AY255" s="276">
        <v>0</v>
      </c>
      <c r="AZ255" s="276">
        <v>0</v>
      </c>
      <c r="BA255" s="278" t="s">
        <v>551</v>
      </c>
      <c r="BB255" s="276">
        <v>0</v>
      </c>
      <c r="BC255" s="279">
        <v>0</v>
      </c>
      <c r="BD255" s="276">
        <v>0</v>
      </c>
      <c r="BE255" s="276">
        <v>0</v>
      </c>
      <c r="BF255" s="279">
        <v>0</v>
      </c>
      <c r="BG255" s="276">
        <v>0</v>
      </c>
      <c r="BH255" s="276">
        <v>0</v>
      </c>
      <c r="BI255" s="278" t="s">
        <v>550</v>
      </c>
      <c r="BJ255" s="276">
        <v>0</v>
      </c>
      <c r="BK255" s="276">
        <v>0</v>
      </c>
      <c r="BL255" s="276">
        <v>0</v>
      </c>
      <c r="BM255" s="276">
        <v>0</v>
      </c>
      <c r="BN255" s="276">
        <v>0</v>
      </c>
      <c r="BO255" s="276">
        <v>0</v>
      </c>
      <c r="BP255" s="276">
        <v>0</v>
      </c>
    </row>
    <row r="256" spans="1:68" x14ac:dyDescent="0.35">
      <c r="A256" s="277" t="s">
        <v>563</v>
      </c>
      <c r="B256" s="277" t="s">
        <v>562</v>
      </c>
      <c r="C256" s="283" t="s">
        <v>675</v>
      </c>
      <c r="D256" s="277" t="s">
        <v>560</v>
      </c>
      <c r="F256" s="277" t="s">
        <v>674</v>
      </c>
      <c r="K256" s="277" t="s">
        <v>555</v>
      </c>
      <c r="L256" s="277" t="s">
        <v>557</v>
      </c>
      <c r="N256" s="277" t="s">
        <v>558</v>
      </c>
      <c r="O256" s="277" t="s">
        <v>555</v>
      </c>
      <c r="P256" s="277" t="s">
        <v>557</v>
      </c>
      <c r="Q256" s="277" t="s">
        <v>556</v>
      </c>
      <c r="R256" s="277" t="s">
        <v>555</v>
      </c>
      <c r="S256" s="276">
        <v>0</v>
      </c>
      <c r="T256" s="276">
        <v>0</v>
      </c>
      <c r="U256" s="276">
        <v>0</v>
      </c>
      <c r="V256" s="276">
        <v>0</v>
      </c>
      <c r="W256" s="276">
        <v>0</v>
      </c>
      <c r="X256" s="276">
        <v>0</v>
      </c>
      <c r="Y256" s="276">
        <v>0</v>
      </c>
      <c r="Z256" s="276">
        <v>0</v>
      </c>
      <c r="AA256" s="276">
        <v>0</v>
      </c>
      <c r="AB256" s="276">
        <v>0</v>
      </c>
      <c r="AC256" s="276"/>
      <c r="AD256" s="276">
        <v>0</v>
      </c>
      <c r="AE256" s="276"/>
      <c r="AF256" s="276">
        <v>0</v>
      </c>
      <c r="AG256" s="276">
        <v>0</v>
      </c>
      <c r="AH256" s="283" t="s">
        <v>483</v>
      </c>
      <c r="AJ256" s="281" t="s">
        <v>553</v>
      </c>
      <c r="AK256" s="280" t="s">
        <v>552</v>
      </c>
      <c r="AL256" s="276">
        <v>0.86</v>
      </c>
      <c r="AM256" s="279">
        <v>0</v>
      </c>
      <c r="AN256" s="276">
        <v>0</v>
      </c>
      <c r="AO256" s="276">
        <v>0.86</v>
      </c>
      <c r="AP256" s="279">
        <v>0</v>
      </c>
      <c r="AQ256" s="276">
        <v>0</v>
      </c>
      <c r="AR256" s="276">
        <v>0</v>
      </c>
      <c r="AS256" s="271">
        <v>2</v>
      </c>
      <c r="AT256" s="276">
        <v>0</v>
      </c>
      <c r="AU256" s="279">
        <v>0</v>
      </c>
      <c r="AV256" s="276">
        <v>0</v>
      </c>
      <c r="AW256" s="276">
        <v>0</v>
      </c>
      <c r="AX256" s="279">
        <v>0</v>
      </c>
      <c r="AY256" s="276">
        <v>0</v>
      </c>
      <c r="AZ256" s="276">
        <v>0</v>
      </c>
      <c r="BA256" s="278" t="s">
        <v>551</v>
      </c>
      <c r="BB256" s="276">
        <v>0</v>
      </c>
      <c r="BC256" s="279">
        <v>0</v>
      </c>
      <c r="BD256" s="276">
        <v>0</v>
      </c>
      <c r="BE256" s="276">
        <v>0</v>
      </c>
      <c r="BF256" s="279">
        <v>0</v>
      </c>
      <c r="BG256" s="276">
        <v>0</v>
      </c>
      <c r="BH256" s="276">
        <v>0</v>
      </c>
      <c r="BI256" s="278" t="s">
        <v>550</v>
      </c>
      <c r="BJ256" s="276">
        <v>0</v>
      </c>
      <c r="BK256" s="276">
        <v>0</v>
      </c>
      <c r="BL256" s="276">
        <v>0</v>
      </c>
      <c r="BM256" s="276">
        <v>0</v>
      </c>
      <c r="BN256" s="276">
        <v>0</v>
      </c>
      <c r="BO256" s="276">
        <v>0</v>
      </c>
      <c r="BP256" s="276">
        <v>0</v>
      </c>
    </row>
    <row r="257" spans="1:68" x14ac:dyDescent="0.35">
      <c r="A257" s="277" t="s">
        <v>563</v>
      </c>
      <c r="B257" s="277" t="s">
        <v>562</v>
      </c>
      <c r="C257" s="283" t="s">
        <v>673</v>
      </c>
      <c r="D257" s="277" t="s">
        <v>560</v>
      </c>
      <c r="F257" s="277" t="s">
        <v>672</v>
      </c>
      <c r="K257" s="277" t="s">
        <v>555</v>
      </c>
      <c r="L257" s="277" t="s">
        <v>557</v>
      </c>
      <c r="N257" s="277" t="s">
        <v>558</v>
      </c>
      <c r="O257" s="277" t="s">
        <v>555</v>
      </c>
      <c r="P257" s="277" t="s">
        <v>557</v>
      </c>
      <c r="Q257" s="277" t="s">
        <v>556</v>
      </c>
      <c r="R257" s="277" t="s">
        <v>555</v>
      </c>
      <c r="S257" s="276">
        <v>1134</v>
      </c>
      <c r="T257" s="276">
        <v>0</v>
      </c>
      <c r="U257" s="276">
        <v>0</v>
      </c>
      <c r="V257" s="276">
        <v>0</v>
      </c>
      <c r="W257" s="276">
        <v>0</v>
      </c>
      <c r="X257" s="276">
        <v>0</v>
      </c>
      <c r="Y257" s="276">
        <v>0</v>
      </c>
      <c r="Z257" s="276">
        <v>0</v>
      </c>
      <c r="AA257" s="276">
        <v>0</v>
      </c>
      <c r="AB257" s="276">
        <v>0</v>
      </c>
      <c r="AC257" s="276"/>
      <c r="AD257" s="276">
        <v>0</v>
      </c>
      <c r="AE257" s="276"/>
      <c r="AF257" s="276">
        <v>0</v>
      </c>
      <c r="AG257" s="276">
        <v>0</v>
      </c>
      <c r="AH257" s="283" t="s">
        <v>483</v>
      </c>
      <c r="AJ257" s="281" t="s">
        <v>553</v>
      </c>
      <c r="AK257" s="280" t="s">
        <v>552</v>
      </c>
      <c r="AL257" s="276">
        <v>0</v>
      </c>
      <c r="AM257" s="279">
        <v>0</v>
      </c>
      <c r="AN257" s="276">
        <v>16</v>
      </c>
      <c r="AO257" s="276">
        <v>0</v>
      </c>
      <c r="AP257" s="279">
        <v>0</v>
      </c>
      <c r="AQ257" s="276">
        <v>0</v>
      </c>
      <c r="AR257" s="276">
        <v>0</v>
      </c>
      <c r="AS257" s="271">
        <v>2</v>
      </c>
      <c r="AT257" s="276">
        <v>0</v>
      </c>
      <c r="AU257" s="279">
        <v>0</v>
      </c>
      <c r="AV257" s="276">
        <v>0</v>
      </c>
      <c r="AW257" s="276">
        <v>0</v>
      </c>
      <c r="AX257" s="279">
        <v>0</v>
      </c>
      <c r="AY257" s="276">
        <v>0</v>
      </c>
      <c r="AZ257" s="276">
        <v>0</v>
      </c>
      <c r="BA257" s="278" t="s">
        <v>551</v>
      </c>
      <c r="BB257" s="276">
        <v>0</v>
      </c>
      <c r="BC257" s="279">
        <v>0</v>
      </c>
      <c r="BD257" s="276">
        <v>0</v>
      </c>
      <c r="BE257" s="276">
        <v>0</v>
      </c>
      <c r="BF257" s="279">
        <v>0</v>
      </c>
      <c r="BG257" s="276">
        <v>0</v>
      </c>
      <c r="BH257" s="276">
        <v>0</v>
      </c>
      <c r="BI257" s="278" t="s">
        <v>550</v>
      </c>
      <c r="BJ257" s="276">
        <v>0</v>
      </c>
      <c r="BK257" s="276">
        <v>0</v>
      </c>
      <c r="BL257" s="276">
        <v>0</v>
      </c>
      <c r="BM257" s="276">
        <v>0</v>
      </c>
      <c r="BN257" s="276">
        <v>0</v>
      </c>
      <c r="BO257" s="276">
        <v>0</v>
      </c>
      <c r="BP257" s="276">
        <v>0</v>
      </c>
    </row>
    <row r="258" spans="1:68" x14ac:dyDescent="0.35">
      <c r="A258" s="277" t="s">
        <v>563</v>
      </c>
      <c r="B258" s="277" t="s">
        <v>562</v>
      </c>
      <c r="C258" s="283" t="s">
        <v>671</v>
      </c>
      <c r="D258" s="277" t="s">
        <v>560</v>
      </c>
      <c r="F258" s="277" t="s">
        <v>670</v>
      </c>
      <c r="K258" s="277" t="s">
        <v>555</v>
      </c>
      <c r="L258" s="277" t="s">
        <v>557</v>
      </c>
      <c r="N258" s="277" t="s">
        <v>558</v>
      </c>
      <c r="O258" s="277" t="s">
        <v>555</v>
      </c>
      <c r="P258" s="277" t="s">
        <v>557</v>
      </c>
      <c r="Q258" s="277" t="s">
        <v>556</v>
      </c>
      <c r="R258" s="277" t="s">
        <v>555</v>
      </c>
      <c r="S258" s="276">
        <v>0</v>
      </c>
      <c r="T258" s="276">
        <v>0</v>
      </c>
      <c r="U258" s="276">
        <v>0</v>
      </c>
      <c r="V258" s="276">
        <v>0</v>
      </c>
      <c r="W258" s="276">
        <v>0</v>
      </c>
      <c r="X258" s="276">
        <v>0</v>
      </c>
      <c r="Y258" s="276">
        <v>0</v>
      </c>
      <c r="Z258" s="276">
        <v>0</v>
      </c>
      <c r="AA258" s="276">
        <v>0</v>
      </c>
      <c r="AB258" s="276">
        <v>0</v>
      </c>
      <c r="AC258" s="276"/>
      <c r="AD258" s="276">
        <v>0</v>
      </c>
      <c r="AE258" s="276"/>
      <c r="AF258" s="276">
        <v>0</v>
      </c>
      <c r="AG258" s="276">
        <v>0</v>
      </c>
      <c r="AH258" s="283" t="s">
        <v>86</v>
      </c>
      <c r="AI258" s="282" t="s">
        <v>665</v>
      </c>
      <c r="AJ258" s="281" t="s">
        <v>553</v>
      </c>
      <c r="AK258" s="280" t="s">
        <v>552</v>
      </c>
      <c r="AL258" s="276">
        <v>1.3</v>
      </c>
      <c r="AM258" s="279">
        <v>0</v>
      </c>
      <c r="AN258" s="276">
        <v>0</v>
      </c>
      <c r="AO258" s="276">
        <v>1.3</v>
      </c>
      <c r="AP258" s="279">
        <v>0</v>
      </c>
      <c r="AQ258" s="276">
        <v>0</v>
      </c>
      <c r="AR258" s="276">
        <v>0</v>
      </c>
      <c r="AS258" s="271">
        <v>2</v>
      </c>
      <c r="AT258" s="276">
        <v>0</v>
      </c>
      <c r="AU258" s="279">
        <v>0</v>
      </c>
      <c r="AV258" s="276">
        <v>0</v>
      </c>
      <c r="AW258" s="276">
        <v>0</v>
      </c>
      <c r="AX258" s="279">
        <v>0</v>
      </c>
      <c r="AY258" s="276">
        <v>0</v>
      </c>
      <c r="AZ258" s="276">
        <v>0</v>
      </c>
      <c r="BA258" s="278" t="s">
        <v>551</v>
      </c>
      <c r="BB258" s="276">
        <v>0</v>
      </c>
      <c r="BC258" s="279">
        <v>0</v>
      </c>
      <c r="BD258" s="276">
        <v>0</v>
      </c>
      <c r="BE258" s="276">
        <v>0</v>
      </c>
      <c r="BF258" s="279">
        <v>0</v>
      </c>
      <c r="BG258" s="276">
        <v>0</v>
      </c>
      <c r="BH258" s="276">
        <v>0</v>
      </c>
      <c r="BI258" s="278" t="s">
        <v>550</v>
      </c>
      <c r="BJ258" s="276">
        <v>0</v>
      </c>
      <c r="BK258" s="276">
        <v>0</v>
      </c>
      <c r="BL258" s="276">
        <v>0</v>
      </c>
      <c r="BM258" s="276">
        <v>0</v>
      </c>
      <c r="BN258" s="276">
        <v>0</v>
      </c>
      <c r="BO258" s="276">
        <v>0</v>
      </c>
      <c r="BP258" s="276">
        <v>0</v>
      </c>
    </row>
    <row r="259" spans="1:68" x14ac:dyDescent="0.35">
      <c r="A259" s="277" t="s">
        <v>563</v>
      </c>
      <c r="B259" s="277" t="s">
        <v>562</v>
      </c>
      <c r="C259" s="283" t="s">
        <v>669</v>
      </c>
      <c r="D259" s="277" t="s">
        <v>560</v>
      </c>
      <c r="F259" s="277" t="s">
        <v>668</v>
      </c>
      <c r="K259" s="277" t="s">
        <v>555</v>
      </c>
      <c r="L259" s="277" t="s">
        <v>557</v>
      </c>
      <c r="N259" s="277" t="s">
        <v>558</v>
      </c>
      <c r="O259" s="277" t="s">
        <v>555</v>
      </c>
      <c r="P259" s="277" t="s">
        <v>557</v>
      </c>
      <c r="Q259" s="277" t="s">
        <v>556</v>
      </c>
      <c r="R259" s="277" t="s">
        <v>555</v>
      </c>
      <c r="S259" s="276">
        <v>0</v>
      </c>
      <c r="T259" s="276">
        <v>0</v>
      </c>
      <c r="U259" s="276">
        <v>0</v>
      </c>
      <c r="V259" s="276">
        <v>0</v>
      </c>
      <c r="W259" s="276">
        <v>0</v>
      </c>
      <c r="X259" s="276">
        <v>0</v>
      </c>
      <c r="Y259" s="276">
        <v>0</v>
      </c>
      <c r="Z259" s="276">
        <v>0</v>
      </c>
      <c r="AA259" s="276">
        <v>0</v>
      </c>
      <c r="AB259" s="276">
        <v>0</v>
      </c>
      <c r="AC259" s="276"/>
      <c r="AD259" s="276">
        <v>0</v>
      </c>
      <c r="AE259" s="276"/>
      <c r="AF259" s="276">
        <v>0</v>
      </c>
      <c r="AG259" s="276">
        <v>0</v>
      </c>
      <c r="AH259" s="283" t="s">
        <v>86</v>
      </c>
      <c r="AI259" s="282" t="s">
        <v>663</v>
      </c>
      <c r="AJ259" s="281" t="s">
        <v>553</v>
      </c>
      <c r="AK259" s="280" t="s">
        <v>552</v>
      </c>
      <c r="AL259" s="276">
        <v>2.2000000000000002</v>
      </c>
      <c r="AM259" s="279">
        <v>0</v>
      </c>
      <c r="AN259" s="276">
        <v>0</v>
      </c>
      <c r="AO259" s="276">
        <v>2.2000000000000002</v>
      </c>
      <c r="AP259" s="279">
        <v>0</v>
      </c>
      <c r="AQ259" s="276">
        <v>0</v>
      </c>
      <c r="AR259" s="276">
        <v>0</v>
      </c>
      <c r="AS259" s="271">
        <v>2</v>
      </c>
      <c r="AT259" s="276">
        <v>0</v>
      </c>
      <c r="AU259" s="279">
        <v>0</v>
      </c>
      <c r="AV259" s="276">
        <v>0</v>
      </c>
      <c r="AW259" s="276">
        <v>0</v>
      </c>
      <c r="AX259" s="279">
        <v>0</v>
      </c>
      <c r="AY259" s="276">
        <v>0</v>
      </c>
      <c r="AZ259" s="276">
        <v>0</v>
      </c>
      <c r="BA259" s="278" t="s">
        <v>551</v>
      </c>
      <c r="BB259" s="276">
        <v>0</v>
      </c>
      <c r="BC259" s="279">
        <v>0</v>
      </c>
      <c r="BD259" s="276">
        <v>0</v>
      </c>
      <c r="BE259" s="276">
        <v>0</v>
      </c>
      <c r="BF259" s="279">
        <v>0</v>
      </c>
      <c r="BG259" s="276">
        <v>0</v>
      </c>
      <c r="BH259" s="276">
        <v>0</v>
      </c>
      <c r="BI259" s="278" t="s">
        <v>550</v>
      </c>
      <c r="BJ259" s="276">
        <v>0</v>
      </c>
      <c r="BK259" s="276">
        <v>0</v>
      </c>
      <c r="BL259" s="276">
        <v>0</v>
      </c>
      <c r="BM259" s="276">
        <v>0</v>
      </c>
      <c r="BN259" s="276">
        <v>0</v>
      </c>
      <c r="BO259" s="276">
        <v>0</v>
      </c>
      <c r="BP259" s="276">
        <v>0</v>
      </c>
    </row>
    <row r="260" spans="1:68" x14ac:dyDescent="0.35">
      <c r="A260" s="277" t="s">
        <v>563</v>
      </c>
      <c r="B260" s="277" t="s">
        <v>562</v>
      </c>
      <c r="C260" s="283" t="s">
        <v>667</v>
      </c>
      <c r="D260" s="277" t="s">
        <v>560</v>
      </c>
      <c r="F260" s="277" t="s">
        <v>666</v>
      </c>
      <c r="K260" s="277" t="s">
        <v>555</v>
      </c>
      <c r="L260" s="277" t="s">
        <v>557</v>
      </c>
      <c r="N260" s="277" t="s">
        <v>558</v>
      </c>
      <c r="O260" s="277" t="s">
        <v>555</v>
      </c>
      <c r="P260" s="277" t="s">
        <v>557</v>
      </c>
      <c r="Q260" s="277" t="s">
        <v>556</v>
      </c>
      <c r="R260" s="277" t="s">
        <v>555</v>
      </c>
      <c r="S260" s="276">
        <v>0</v>
      </c>
      <c r="T260" s="276">
        <v>0</v>
      </c>
      <c r="U260" s="276">
        <v>0</v>
      </c>
      <c r="V260" s="276">
        <v>0</v>
      </c>
      <c r="W260" s="276">
        <v>0</v>
      </c>
      <c r="X260" s="276">
        <v>0</v>
      </c>
      <c r="Y260" s="276">
        <v>0</v>
      </c>
      <c r="Z260" s="276">
        <v>0</v>
      </c>
      <c r="AA260" s="276">
        <v>0</v>
      </c>
      <c r="AB260" s="276">
        <v>0</v>
      </c>
      <c r="AC260" s="276"/>
      <c r="AD260" s="276">
        <v>0</v>
      </c>
      <c r="AE260" s="276"/>
      <c r="AF260" s="276">
        <v>0</v>
      </c>
      <c r="AG260" s="276">
        <v>0</v>
      </c>
      <c r="AH260" s="283" t="s">
        <v>86</v>
      </c>
      <c r="AI260" s="282" t="s">
        <v>661</v>
      </c>
      <c r="AJ260" s="281" t="s">
        <v>553</v>
      </c>
      <c r="AK260" s="280" t="s">
        <v>552</v>
      </c>
      <c r="AL260" s="276">
        <v>1.32</v>
      </c>
      <c r="AM260" s="279">
        <v>0</v>
      </c>
      <c r="AN260" s="276">
        <v>0</v>
      </c>
      <c r="AO260" s="276">
        <v>1.32</v>
      </c>
      <c r="AP260" s="279">
        <v>0</v>
      </c>
      <c r="AQ260" s="276">
        <v>0</v>
      </c>
      <c r="AR260" s="276">
        <v>0</v>
      </c>
      <c r="AS260" s="271">
        <v>2</v>
      </c>
      <c r="AT260" s="276">
        <v>0</v>
      </c>
      <c r="AU260" s="279">
        <v>0</v>
      </c>
      <c r="AV260" s="276">
        <v>0</v>
      </c>
      <c r="AW260" s="276">
        <v>0</v>
      </c>
      <c r="AX260" s="279">
        <v>0</v>
      </c>
      <c r="AY260" s="276">
        <v>0</v>
      </c>
      <c r="AZ260" s="276">
        <v>0</v>
      </c>
      <c r="BA260" s="278" t="s">
        <v>551</v>
      </c>
      <c r="BB260" s="276">
        <v>0</v>
      </c>
      <c r="BC260" s="279">
        <v>0</v>
      </c>
      <c r="BD260" s="276">
        <v>0</v>
      </c>
      <c r="BE260" s="276">
        <v>0</v>
      </c>
      <c r="BF260" s="279">
        <v>0</v>
      </c>
      <c r="BG260" s="276">
        <v>0</v>
      </c>
      <c r="BH260" s="276">
        <v>0</v>
      </c>
      <c r="BI260" s="278" t="s">
        <v>550</v>
      </c>
      <c r="BJ260" s="276">
        <v>0</v>
      </c>
      <c r="BK260" s="276">
        <v>0</v>
      </c>
      <c r="BL260" s="276">
        <v>0</v>
      </c>
      <c r="BM260" s="276">
        <v>0</v>
      </c>
      <c r="BN260" s="276">
        <v>0</v>
      </c>
      <c r="BO260" s="276">
        <v>0</v>
      </c>
      <c r="BP260" s="276">
        <v>0</v>
      </c>
    </row>
    <row r="261" spans="1:68" x14ac:dyDescent="0.35">
      <c r="A261" s="277" t="s">
        <v>563</v>
      </c>
      <c r="B261" s="277" t="s">
        <v>562</v>
      </c>
      <c r="C261" s="283" t="s">
        <v>665</v>
      </c>
      <c r="D261" s="277" t="s">
        <v>560</v>
      </c>
      <c r="F261" s="277" t="s">
        <v>664</v>
      </c>
      <c r="K261" s="277" t="s">
        <v>555</v>
      </c>
      <c r="L261" s="277" t="s">
        <v>557</v>
      </c>
      <c r="N261" s="277" t="s">
        <v>558</v>
      </c>
      <c r="O261" s="277" t="s">
        <v>555</v>
      </c>
      <c r="P261" s="277" t="s">
        <v>557</v>
      </c>
      <c r="Q261" s="277" t="s">
        <v>556</v>
      </c>
      <c r="R261" s="277" t="s">
        <v>555</v>
      </c>
      <c r="S261" s="276">
        <v>0</v>
      </c>
      <c r="T261" s="276">
        <v>0</v>
      </c>
      <c r="U261" s="276">
        <v>0</v>
      </c>
      <c r="V261" s="276">
        <v>0</v>
      </c>
      <c r="W261" s="276">
        <v>0</v>
      </c>
      <c r="X261" s="276">
        <v>0</v>
      </c>
      <c r="Y261" s="276">
        <v>0</v>
      </c>
      <c r="Z261" s="276">
        <v>0</v>
      </c>
      <c r="AA261" s="276">
        <v>0</v>
      </c>
      <c r="AB261" s="276">
        <v>0</v>
      </c>
      <c r="AC261" s="276"/>
      <c r="AD261" s="276">
        <v>0</v>
      </c>
      <c r="AE261" s="276"/>
      <c r="AF261" s="276">
        <v>0</v>
      </c>
      <c r="AG261" s="276">
        <v>0</v>
      </c>
      <c r="AH261" s="283" t="s">
        <v>483</v>
      </c>
      <c r="AJ261" s="281" t="s">
        <v>553</v>
      </c>
      <c r="AK261" s="280" t="s">
        <v>552</v>
      </c>
      <c r="AL261" s="276">
        <v>0.84</v>
      </c>
      <c r="AM261" s="279">
        <v>0</v>
      </c>
      <c r="AN261" s="276">
        <v>0</v>
      </c>
      <c r="AO261" s="276">
        <v>0.84</v>
      </c>
      <c r="AP261" s="279">
        <v>0</v>
      </c>
      <c r="AQ261" s="276">
        <v>0</v>
      </c>
      <c r="AR261" s="276">
        <v>0</v>
      </c>
      <c r="AS261" s="271">
        <v>2</v>
      </c>
      <c r="AT261" s="276">
        <v>0</v>
      </c>
      <c r="AU261" s="279">
        <v>0</v>
      </c>
      <c r="AV261" s="276">
        <v>0</v>
      </c>
      <c r="AW261" s="276">
        <v>0</v>
      </c>
      <c r="AX261" s="279">
        <v>0</v>
      </c>
      <c r="AY261" s="276">
        <v>0</v>
      </c>
      <c r="AZ261" s="276">
        <v>0</v>
      </c>
      <c r="BA261" s="278" t="s">
        <v>551</v>
      </c>
      <c r="BB261" s="276">
        <v>0</v>
      </c>
      <c r="BC261" s="279">
        <v>0</v>
      </c>
      <c r="BD261" s="276">
        <v>0</v>
      </c>
      <c r="BE261" s="276">
        <v>0</v>
      </c>
      <c r="BF261" s="279">
        <v>0</v>
      </c>
      <c r="BG261" s="276">
        <v>0</v>
      </c>
      <c r="BH261" s="276">
        <v>0</v>
      </c>
      <c r="BI261" s="278" t="s">
        <v>550</v>
      </c>
      <c r="BJ261" s="276">
        <v>0</v>
      </c>
      <c r="BK261" s="276">
        <v>0</v>
      </c>
      <c r="BL261" s="276">
        <v>0</v>
      </c>
      <c r="BM261" s="276">
        <v>0</v>
      </c>
      <c r="BN261" s="276">
        <v>0</v>
      </c>
      <c r="BO261" s="276">
        <v>0</v>
      </c>
      <c r="BP261" s="276">
        <v>0</v>
      </c>
    </row>
    <row r="262" spans="1:68" x14ac:dyDescent="0.35">
      <c r="A262" s="277" t="s">
        <v>563</v>
      </c>
      <c r="B262" s="277" t="s">
        <v>562</v>
      </c>
      <c r="C262" s="283" t="s">
        <v>663</v>
      </c>
      <c r="D262" s="277" t="s">
        <v>560</v>
      </c>
      <c r="F262" s="277" t="s">
        <v>662</v>
      </c>
      <c r="K262" s="277" t="s">
        <v>555</v>
      </c>
      <c r="L262" s="277" t="s">
        <v>557</v>
      </c>
      <c r="N262" s="277" t="s">
        <v>558</v>
      </c>
      <c r="O262" s="277" t="s">
        <v>555</v>
      </c>
      <c r="P262" s="277" t="s">
        <v>557</v>
      </c>
      <c r="Q262" s="277" t="s">
        <v>556</v>
      </c>
      <c r="R262" s="277" t="s">
        <v>555</v>
      </c>
      <c r="S262" s="276">
        <v>0</v>
      </c>
      <c r="T262" s="276">
        <v>0</v>
      </c>
      <c r="U262" s="276">
        <v>0</v>
      </c>
      <c r="V262" s="276">
        <v>0</v>
      </c>
      <c r="W262" s="276">
        <v>0</v>
      </c>
      <c r="X262" s="276">
        <v>0</v>
      </c>
      <c r="Y262" s="276">
        <v>0</v>
      </c>
      <c r="Z262" s="276">
        <v>0</v>
      </c>
      <c r="AA262" s="276">
        <v>0</v>
      </c>
      <c r="AB262" s="276">
        <v>0</v>
      </c>
      <c r="AC262" s="276"/>
      <c r="AD262" s="276">
        <v>0</v>
      </c>
      <c r="AE262" s="276"/>
      <c r="AF262" s="276">
        <v>0</v>
      </c>
      <c r="AG262" s="276">
        <v>0</v>
      </c>
      <c r="AH262" s="283" t="s">
        <v>483</v>
      </c>
      <c r="AJ262" s="281" t="s">
        <v>553</v>
      </c>
      <c r="AK262" s="280" t="s">
        <v>552</v>
      </c>
      <c r="AL262" s="276">
        <v>1.6</v>
      </c>
      <c r="AM262" s="279">
        <v>0</v>
      </c>
      <c r="AN262" s="276">
        <v>0</v>
      </c>
      <c r="AO262" s="276">
        <v>1.6</v>
      </c>
      <c r="AP262" s="279">
        <v>0</v>
      </c>
      <c r="AQ262" s="276">
        <v>0</v>
      </c>
      <c r="AR262" s="276">
        <v>0</v>
      </c>
      <c r="AS262" s="271">
        <v>2</v>
      </c>
      <c r="AT262" s="276">
        <v>0</v>
      </c>
      <c r="AU262" s="279">
        <v>0</v>
      </c>
      <c r="AV262" s="276">
        <v>0</v>
      </c>
      <c r="AW262" s="276">
        <v>0</v>
      </c>
      <c r="AX262" s="279">
        <v>0</v>
      </c>
      <c r="AY262" s="276">
        <v>0</v>
      </c>
      <c r="AZ262" s="276">
        <v>0</v>
      </c>
      <c r="BA262" s="278" t="s">
        <v>551</v>
      </c>
      <c r="BB262" s="276">
        <v>0</v>
      </c>
      <c r="BC262" s="279">
        <v>0</v>
      </c>
      <c r="BD262" s="276">
        <v>0</v>
      </c>
      <c r="BE262" s="276">
        <v>0</v>
      </c>
      <c r="BF262" s="279">
        <v>0</v>
      </c>
      <c r="BG262" s="276">
        <v>0</v>
      </c>
      <c r="BH262" s="276">
        <v>0</v>
      </c>
      <c r="BI262" s="278" t="s">
        <v>550</v>
      </c>
      <c r="BJ262" s="276">
        <v>0</v>
      </c>
      <c r="BK262" s="276">
        <v>0</v>
      </c>
      <c r="BL262" s="276">
        <v>0</v>
      </c>
      <c r="BM262" s="276">
        <v>0</v>
      </c>
      <c r="BN262" s="276">
        <v>0</v>
      </c>
      <c r="BO262" s="276">
        <v>0</v>
      </c>
      <c r="BP262" s="276">
        <v>0</v>
      </c>
    </row>
    <row r="263" spans="1:68" x14ac:dyDescent="0.35">
      <c r="A263" s="277" t="s">
        <v>563</v>
      </c>
      <c r="B263" s="277" t="s">
        <v>562</v>
      </c>
      <c r="C263" s="283" t="s">
        <v>661</v>
      </c>
      <c r="D263" s="277" t="s">
        <v>560</v>
      </c>
      <c r="F263" s="277" t="s">
        <v>660</v>
      </c>
      <c r="K263" s="277" t="s">
        <v>555</v>
      </c>
      <c r="L263" s="277" t="s">
        <v>557</v>
      </c>
      <c r="N263" s="277" t="s">
        <v>558</v>
      </c>
      <c r="O263" s="277" t="s">
        <v>555</v>
      </c>
      <c r="P263" s="277" t="s">
        <v>557</v>
      </c>
      <c r="Q263" s="277" t="s">
        <v>556</v>
      </c>
      <c r="R263" s="277" t="s">
        <v>555</v>
      </c>
      <c r="S263" s="276">
        <v>0</v>
      </c>
      <c r="T263" s="276">
        <v>0</v>
      </c>
      <c r="U263" s="276">
        <v>0</v>
      </c>
      <c r="V263" s="276">
        <v>0</v>
      </c>
      <c r="W263" s="276">
        <v>0</v>
      </c>
      <c r="X263" s="276">
        <v>0</v>
      </c>
      <c r="Y263" s="276">
        <v>0</v>
      </c>
      <c r="Z263" s="276">
        <v>0</v>
      </c>
      <c r="AA263" s="276">
        <v>0</v>
      </c>
      <c r="AB263" s="276">
        <v>0</v>
      </c>
      <c r="AC263" s="276"/>
      <c r="AD263" s="276">
        <v>0</v>
      </c>
      <c r="AE263" s="276"/>
      <c r="AF263" s="276">
        <v>0</v>
      </c>
      <c r="AG263" s="276">
        <v>0</v>
      </c>
      <c r="AH263" s="283" t="s">
        <v>483</v>
      </c>
      <c r="AJ263" s="281" t="s">
        <v>553</v>
      </c>
      <c r="AK263" s="280" t="s">
        <v>552</v>
      </c>
      <c r="AL263" s="276">
        <v>1</v>
      </c>
      <c r="AM263" s="279">
        <v>0</v>
      </c>
      <c r="AN263" s="276">
        <v>0</v>
      </c>
      <c r="AO263" s="276">
        <v>1</v>
      </c>
      <c r="AP263" s="279">
        <v>0</v>
      </c>
      <c r="AQ263" s="276">
        <v>0</v>
      </c>
      <c r="AR263" s="276">
        <v>0</v>
      </c>
      <c r="AS263" s="271">
        <v>2</v>
      </c>
      <c r="AT263" s="276">
        <v>0</v>
      </c>
      <c r="AU263" s="279">
        <v>0</v>
      </c>
      <c r="AV263" s="276">
        <v>0</v>
      </c>
      <c r="AW263" s="276">
        <v>0</v>
      </c>
      <c r="AX263" s="279">
        <v>0</v>
      </c>
      <c r="AY263" s="276">
        <v>0</v>
      </c>
      <c r="AZ263" s="276">
        <v>0</v>
      </c>
      <c r="BA263" s="278" t="s">
        <v>551</v>
      </c>
      <c r="BB263" s="276">
        <v>0</v>
      </c>
      <c r="BC263" s="279">
        <v>0</v>
      </c>
      <c r="BD263" s="276">
        <v>0</v>
      </c>
      <c r="BE263" s="276">
        <v>0</v>
      </c>
      <c r="BF263" s="279">
        <v>0</v>
      </c>
      <c r="BG263" s="276">
        <v>0</v>
      </c>
      <c r="BH263" s="276">
        <v>0</v>
      </c>
      <c r="BI263" s="278" t="s">
        <v>550</v>
      </c>
      <c r="BJ263" s="276">
        <v>0</v>
      </c>
      <c r="BK263" s="276">
        <v>0</v>
      </c>
      <c r="BL263" s="276">
        <v>0</v>
      </c>
      <c r="BM263" s="276">
        <v>0</v>
      </c>
      <c r="BN263" s="276">
        <v>0</v>
      </c>
      <c r="BO263" s="276">
        <v>0</v>
      </c>
      <c r="BP263" s="276">
        <v>0</v>
      </c>
    </row>
    <row r="264" spans="1:68" x14ac:dyDescent="0.35">
      <c r="A264" s="277" t="s">
        <v>563</v>
      </c>
      <c r="B264" s="277" t="s">
        <v>562</v>
      </c>
      <c r="C264" s="283" t="s">
        <v>659</v>
      </c>
      <c r="D264" s="277" t="s">
        <v>560</v>
      </c>
      <c r="F264" s="277" t="s">
        <v>658</v>
      </c>
      <c r="K264" s="277" t="s">
        <v>555</v>
      </c>
      <c r="L264" s="277" t="s">
        <v>557</v>
      </c>
      <c r="N264" s="277" t="s">
        <v>558</v>
      </c>
      <c r="O264" s="277" t="s">
        <v>555</v>
      </c>
      <c r="P264" s="277" t="s">
        <v>557</v>
      </c>
      <c r="Q264" s="277" t="s">
        <v>556</v>
      </c>
      <c r="R264" s="277" t="s">
        <v>555</v>
      </c>
      <c r="S264" s="276">
        <v>0</v>
      </c>
      <c r="T264" s="276">
        <v>0</v>
      </c>
      <c r="U264" s="276">
        <v>0</v>
      </c>
      <c r="V264" s="276">
        <v>0</v>
      </c>
      <c r="W264" s="276">
        <v>0</v>
      </c>
      <c r="X264" s="276">
        <v>0</v>
      </c>
      <c r="Y264" s="276">
        <v>0</v>
      </c>
      <c r="Z264" s="276">
        <v>0</v>
      </c>
      <c r="AA264" s="276">
        <v>0</v>
      </c>
      <c r="AB264" s="276">
        <v>0</v>
      </c>
      <c r="AC264" s="276"/>
      <c r="AD264" s="276">
        <v>0</v>
      </c>
      <c r="AE264" s="276"/>
      <c r="AF264" s="276">
        <v>0</v>
      </c>
      <c r="AG264" s="276">
        <v>0</v>
      </c>
      <c r="AH264" s="283" t="s">
        <v>483</v>
      </c>
      <c r="AJ264" s="281" t="s">
        <v>553</v>
      </c>
      <c r="AK264" s="280" t="s">
        <v>552</v>
      </c>
      <c r="AL264" s="276">
        <v>0</v>
      </c>
      <c r="AM264" s="279">
        <v>0</v>
      </c>
      <c r="AN264" s="276">
        <v>45</v>
      </c>
      <c r="AO264" s="276">
        <v>0</v>
      </c>
      <c r="AP264" s="279">
        <v>0</v>
      </c>
      <c r="AQ264" s="276">
        <v>0</v>
      </c>
      <c r="AR264" s="276">
        <v>0</v>
      </c>
      <c r="AS264" s="271">
        <v>2</v>
      </c>
      <c r="AT264" s="276">
        <v>0</v>
      </c>
      <c r="AU264" s="279">
        <v>0</v>
      </c>
      <c r="AV264" s="276">
        <v>0</v>
      </c>
      <c r="AW264" s="276">
        <v>0</v>
      </c>
      <c r="AX264" s="279">
        <v>0</v>
      </c>
      <c r="AY264" s="276">
        <v>0</v>
      </c>
      <c r="AZ264" s="276">
        <v>0</v>
      </c>
      <c r="BA264" s="278" t="s">
        <v>551</v>
      </c>
      <c r="BB264" s="276">
        <v>0</v>
      </c>
      <c r="BC264" s="279">
        <v>0</v>
      </c>
      <c r="BD264" s="276">
        <v>0</v>
      </c>
      <c r="BE264" s="276">
        <v>0</v>
      </c>
      <c r="BF264" s="279">
        <v>0</v>
      </c>
      <c r="BG264" s="276">
        <v>0</v>
      </c>
      <c r="BH264" s="276">
        <v>0</v>
      </c>
      <c r="BI264" s="278" t="s">
        <v>550</v>
      </c>
      <c r="BJ264" s="276">
        <v>0</v>
      </c>
      <c r="BK264" s="276">
        <v>0</v>
      </c>
      <c r="BL264" s="276">
        <v>0</v>
      </c>
      <c r="BM264" s="276">
        <v>0</v>
      </c>
      <c r="BN264" s="276">
        <v>0</v>
      </c>
      <c r="BO264" s="276">
        <v>0</v>
      </c>
      <c r="BP264" s="276">
        <v>0</v>
      </c>
    </row>
    <row r="265" spans="1:68" x14ac:dyDescent="0.35">
      <c r="A265" s="277" t="s">
        <v>563</v>
      </c>
      <c r="B265" s="277" t="s">
        <v>562</v>
      </c>
      <c r="C265" s="283" t="s">
        <v>657</v>
      </c>
      <c r="D265" s="277" t="s">
        <v>560</v>
      </c>
      <c r="F265" s="277" t="s">
        <v>656</v>
      </c>
      <c r="K265" s="277" t="s">
        <v>555</v>
      </c>
      <c r="L265" s="277" t="s">
        <v>557</v>
      </c>
      <c r="N265" s="277" t="s">
        <v>558</v>
      </c>
      <c r="O265" s="277" t="s">
        <v>555</v>
      </c>
      <c r="P265" s="277" t="s">
        <v>557</v>
      </c>
      <c r="Q265" s="277" t="s">
        <v>556</v>
      </c>
      <c r="R265" s="277" t="s">
        <v>555</v>
      </c>
      <c r="S265" s="276">
        <v>0</v>
      </c>
      <c r="T265" s="276">
        <v>0</v>
      </c>
      <c r="U265" s="276">
        <v>0</v>
      </c>
      <c r="V265" s="276">
        <v>0</v>
      </c>
      <c r="W265" s="276">
        <v>0</v>
      </c>
      <c r="X265" s="276">
        <v>0</v>
      </c>
      <c r="Y265" s="276">
        <v>0</v>
      </c>
      <c r="Z265" s="276">
        <v>0</v>
      </c>
      <c r="AA265" s="276">
        <v>0</v>
      </c>
      <c r="AB265" s="276">
        <v>0</v>
      </c>
      <c r="AC265" s="276"/>
      <c r="AD265" s="276">
        <v>0</v>
      </c>
      <c r="AE265" s="276"/>
      <c r="AF265" s="276">
        <v>0</v>
      </c>
      <c r="AG265" s="276">
        <v>0</v>
      </c>
      <c r="AH265" s="283" t="s">
        <v>86</v>
      </c>
      <c r="AI265" s="282" t="s">
        <v>655</v>
      </c>
      <c r="AJ265" s="281" t="s">
        <v>553</v>
      </c>
      <c r="AK265" s="280" t="s">
        <v>552</v>
      </c>
      <c r="AL265" s="276">
        <v>1.42</v>
      </c>
      <c r="AM265" s="279">
        <v>0</v>
      </c>
      <c r="AN265" s="276">
        <v>0</v>
      </c>
      <c r="AO265" s="276">
        <v>1.42</v>
      </c>
      <c r="AP265" s="279">
        <v>0</v>
      </c>
      <c r="AQ265" s="276">
        <v>0</v>
      </c>
      <c r="AR265" s="276">
        <v>0</v>
      </c>
      <c r="AS265" s="271">
        <v>2</v>
      </c>
      <c r="AT265" s="276">
        <v>0</v>
      </c>
      <c r="AU265" s="279">
        <v>0</v>
      </c>
      <c r="AV265" s="276">
        <v>0</v>
      </c>
      <c r="AW265" s="276">
        <v>0</v>
      </c>
      <c r="AX265" s="279">
        <v>0</v>
      </c>
      <c r="AY265" s="276">
        <v>0</v>
      </c>
      <c r="AZ265" s="276">
        <v>0</v>
      </c>
      <c r="BA265" s="278" t="s">
        <v>551</v>
      </c>
      <c r="BB265" s="276">
        <v>0</v>
      </c>
      <c r="BC265" s="279">
        <v>0</v>
      </c>
      <c r="BD265" s="276">
        <v>0</v>
      </c>
      <c r="BE265" s="276">
        <v>0</v>
      </c>
      <c r="BF265" s="279">
        <v>0</v>
      </c>
      <c r="BG265" s="276">
        <v>0</v>
      </c>
      <c r="BH265" s="276">
        <v>0</v>
      </c>
      <c r="BI265" s="278" t="s">
        <v>550</v>
      </c>
      <c r="BJ265" s="276">
        <v>0</v>
      </c>
      <c r="BK265" s="276">
        <v>0</v>
      </c>
      <c r="BL265" s="276">
        <v>0</v>
      </c>
      <c r="BM265" s="276">
        <v>0</v>
      </c>
      <c r="BN265" s="276">
        <v>0</v>
      </c>
      <c r="BO265" s="276">
        <v>0</v>
      </c>
      <c r="BP265" s="276">
        <v>0</v>
      </c>
    </row>
    <row r="266" spans="1:68" x14ac:dyDescent="0.35">
      <c r="A266" s="277" t="s">
        <v>563</v>
      </c>
      <c r="B266" s="277" t="s">
        <v>562</v>
      </c>
      <c r="C266" s="283" t="s">
        <v>655</v>
      </c>
      <c r="D266" s="277" t="s">
        <v>560</v>
      </c>
      <c r="F266" s="277" t="s">
        <v>654</v>
      </c>
      <c r="K266" s="277" t="s">
        <v>555</v>
      </c>
      <c r="L266" s="277" t="s">
        <v>557</v>
      </c>
      <c r="N266" s="277" t="s">
        <v>558</v>
      </c>
      <c r="O266" s="277" t="s">
        <v>555</v>
      </c>
      <c r="P266" s="277" t="s">
        <v>557</v>
      </c>
      <c r="Q266" s="277" t="s">
        <v>556</v>
      </c>
      <c r="R266" s="277" t="s">
        <v>555</v>
      </c>
      <c r="S266" s="276">
        <v>0</v>
      </c>
      <c r="T266" s="276">
        <v>0</v>
      </c>
      <c r="U266" s="276">
        <v>0</v>
      </c>
      <c r="V266" s="276">
        <v>0</v>
      </c>
      <c r="W266" s="276">
        <v>0</v>
      </c>
      <c r="X266" s="276">
        <v>0</v>
      </c>
      <c r="Y266" s="276">
        <v>0</v>
      </c>
      <c r="Z266" s="276">
        <v>0</v>
      </c>
      <c r="AA266" s="276">
        <v>0</v>
      </c>
      <c r="AB266" s="276">
        <v>0</v>
      </c>
      <c r="AC266" s="276"/>
      <c r="AD266" s="276">
        <v>0</v>
      </c>
      <c r="AE266" s="276"/>
      <c r="AF266" s="276">
        <v>0</v>
      </c>
      <c r="AG266" s="276">
        <v>0</v>
      </c>
      <c r="AH266" s="283" t="s">
        <v>483</v>
      </c>
      <c r="AJ266" s="281" t="s">
        <v>553</v>
      </c>
      <c r="AK266" s="280" t="s">
        <v>552</v>
      </c>
      <c r="AL266" s="276">
        <v>1.4</v>
      </c>
      <c r="AM266" s="279">
        <v>0</v>
      </c>
      <c r="AN266" s="276">
        <v>0</v>
      </c>
      <c r="AO266" s="276">
        <v>1.4</v>
      </c>
      <c r="AP266" s="279">
        <v>0</v>
      </c>
      <c r="AQ266" s="276">
        <v>0</v>
      </c>
      <c r="AR266" s="276">
        <v>0</v>
      </c>
      <c r="AS266" s="271">
        <v>2</v>
      </c>
      <c r="AT266" s="276">
        <v>0</v>
      </c>
      <c r="AU266" s="279">
        <v>0</v>
      </c>
      <c r="AV266" s="276">
        <v>0</v>
      </c>
      <c r="AW266" s="276">
        <v>0</v>
      </c>
      <c r="AX266" s="279">
        <v>0</v>
      </c>
      <c r="AY266" s="276">
        <v>0</v>
      </c>
      <c r="AZ266" s="276">
        <v>0</v>
      </c>
      <c r="BA266" s="278" t="s">
        <v>551</v>
      </c>
      <c r="BB266" s="276">
        <v>0</v>
      </c>
      <c r="BC266" s="279">
        <v>0</v>
      </c>
      <c r="BD266" s="276">
        <v>0</v>
      </c>
      <c r="BE266" s="276">
        <v>0</v>
      </c>
      <c r="BF266" s="279">
        <v>0</v>
      </c>
      <c r="BG266" s="276">
        <v>0</v>
      </c>
      <c r="BH266" s="276">
        <v>0</v>
      </c>
      <c r="BI266" s="278" t="s">
        <v>550</v>
      </c>
      <c r="BJ266" s="276">
        <v>0</v>
      </c>
      <c r="BK266" s="276">
        <v>0</v>
      </c>
      <c r="BL266" s="276">
        <v>0</v>
      </c>
      <c r="BM266" s="276">
        <v>0</v>
      </c>
      <c r="BN266" s="276">
        <v>0</v>
      </c>
      <c r="BO266" s="276">
        <v>0</v>
      </c>
      <c r="BP266" s="276">
        <v>0</v>
      </c>
    </row>
    <row r="267" spans="1:68" x14ac:dyDescent="0.35">
      <c r="A267" s="277" t="s">
        <v>563</v>
      </c>
      <c r="B267" s="277" t="s">
        <v>562</v>
      </c>
      <c r="C267" s="283" t="s">
        <v>653</v>
      </c>
      <c r="D267" s="277" t="s">
        <v>560</v>
      </c>
      <c r="F267" s="277" t="s">
        <v>652</v>
      </c>
      <c r="K267" s="277" t="s">
        <v>555</v>
      </c>
      <c r="L267" s="277" t="s">
        <v>557</v>
      </c>
      <c r="N267" s="277" t="s">
        <v>558</v>
      </c>
      <c r="O267" s="277" t="s">
        <v>555</v>
      </c>
      <c r="P267" s="277" t="s">
        <v>557</v>
      </c>
      <c r="Q267" s="277" t="s">
        <v>556</v>
      </c>
      <c r="R267" s="277" t="s">
        <v>555</v>
      </c>
      <c r="S267" s="276">
        <v>320</v>
      </c>
      <c r="T267" s="276">
        <v>0</v>
      </c>
      <c r="U267" s="276">
        <v>0</v>
      </c>
      <c r="V267" s="276">
        <v>0</v>
      </c>
      <c r="W267" s="276">
        <v>0</v>
      </c>
      <c r="X267" s="276">
        <v>0</v>
      </c>
      <c r="Y267" s="276">
        <v>0</v>
      </c>
      <c r="Z267" s="276">
        <v>0</v>
      </c>
      <c r="AA267" s="276">
        <v>0</v>
      </c>
      <c r="AB267" s="276">
        <v>0</v>
      </c>
      <c r="AC267" s="276"/>
      <c r="AD267" s="276">
        <v>0</v>
      </c>
      <c r="AE267" s="276"/>
      <c r="AF267" s="276">
        <v>0</v>
      </c>
      <c r="AG267" s="276">
        <v>0</v>
      </c>
      <c r="AH267" s="283" t="s">
        <v>483</v>
      </c>
      <c r="AJ267" s="281" t="s">
        <v>553</v>
      </c>
      <c r="AK267" s="280" t="s">
        <v>552</v>
      </c>
      <c r="AL267" s="276">
        <v>0</v>
      </c>
      <c r="AM267" s="279">
        <v>0</v>
      </c>
      <c r="AN267" s="276">
        <v>0</v>
      </c>
      <c r="AO267" s="276">
        <v>0</v>
      </c>
      <c r="AP267" s="279">
        <v>0</v>
      </c>
      <c r="AQ267" s="276">
        <v>0</v>
      </c>
      <c r="AR267" s="276">
        <v>0</v>
      </c>
      <c r="AS267" s="271">
        <v>2</v>
      </c>
      <c r="AT267" s="276">
        <v>0</v>
      </c>
      <c r="AU267" s="279">
        <v>0</v>
      </c>
      <c r="AV267" s="276">
        <v>0</v>
      </c>
      <c r="AW267" s="276">
        <v>0</v>
      </c>
      <c r="AX267" s="279">
        <v>0</v>
      </c>
      <c r="AY267" s="276">
        <v>0</v>
      </c>
      <c r="AZ267" s="276">
        <v>0</v>
      </c>
      <c r="BA267" s="278" t="s">
        <v>551</v>
      </c>
      <c r="BB267" s="276">
        <v>0</v>
      </c>
      <c r="BC267" s="279">
        <v>0</v>
      </c>
      <c r="BD267" s="276">
        <v>0</v>
      </c>
      <c r="BE267" s="276">
        <v>0</v>
      </c>
      <c r="BF267" s="279">
        <v>0</v>
      </c>
      <c r="BG267" s="276">
        <v>0</v>
      </c>
      <c r="BH267" s="276">
        <v>0</v>
      </c>
      <c r="BI267" s="278" t="s">
        <v>550</v>
      </c>
      <c r="BJ267" s="276">
        <v>0</v>
      </c>
      <c r="BK267" s="276">
        <v>0</v>
      </c>
      <c r="BL267" s="276">
        <v>0</v>
      </c>
      <c r="BM267" s="276">
        <v>0</v>
      </c>
      <c r="BN267" s="276">
        <v>0</v>
      </c>
      <c r="BO267" s="276">
        <v>0</v>
      </c>
      <c r="BP267" s="276">
        <v>0</v>
      </c>
    </row>
    <row r="268" spans="1:68" x14ac:dyDescent="0.35">
      <c r="A268" s="277" t="s">
        <v>563</v>
      </c>
      <c r="B268" s="277" t="s">
        <v>562</v>
      </c>
      <c r="C268" s="283" t="s">
        <v>651</v>
      </c>
      <c r="D268" s="277" t="s">
        <v>560</v>
      </c>
      <c r="F268" s="277" t="s">
        <v>650</v>
      </c>
      <c r="K268" s="277" t="s">
        <v>555</v>
      </c>
      <c r="L268" s="277" t="s">
        <v>557</v>
      </c>
      <c r="N268" s="277" t="s">
        <v>558</v>
      </c>
      <c r="O268" s="277" t="s">
        <v>555</v>
      </c>
      <c r="P268" s="277" t="s">
        <v>557</v>
      </c>
      <c r="Q268" s="277" t="s">
        <v>556</v>
      </c>
      <c r="R268" s="277" t="s">
        <v>555</v>
      </c>
      <c r="S268" s="276">
        <v>0</v>
      </c>
      <c r="T268" s="276">
        <v>0</v>
      </c>
      <c r="U268" s="276">
        <v>0</v>
      </c>
      <c r="V268" s="276">
        <v>0</v>
      </c>
      <c r="W268" s="276">
        <v>0</v>
      </c>
      <c r="X268" s="276">
        <v>0</v>
      </c>
      <c r="Y268" s="276">
        <v>0</v>
      </c>
      <c r="Z268" s="276">
        <v>0</v>
      </c>
      <c r="AA268" s="276">
        <v>0</v>
      </c>
      <c r="AB268" s="276">
        <v>0</v>
      </c>
      <c r="AC268" s="276"/>
      <c r="AD268" s="276">
        <v>0</v>
      </c>
      <c r="AE268" s="276"/>
      <c r="AF268" s="276">
        <v>0</v>
      </c>
      <c r="AG268" s="276">
        <v>0</v>
      </c>
      <c r="AH268" s="283" t="s">
        <v>86</v>
      </c>
      <c r="AI268" s="282" t="s">
        <v>643</v>
      </c>
      <c r="AJ268" s="281" t="s">
        <v>553</v>
      </c>
      <c r="AK268" s="280" t="s">
        <v>552</v>
      </c>
      <c r="AL268" s="276">
        <v>2.9</v>
      </c>
      <c r="AM268" s="279">
        <v>0</v>
      </c>
      <c r="AN268" s="276">
        <v>0</v>
      </c>
      <c r="AO268" s="276">
        <v>2.9</v>
      </c>
      <c r="AP268" s="279">
        <v>0</v>
      </c>
      <c r="AQ268" s="276">
        <v>0</v>
      </c>
      <c r="AR268" s="276">
        <v>0</v>
      </c>
      <c r="AS268" s="271">
        <v>2</v>
      </c>
      <c r="AT268" s="276">
        <v>0</v>
      </c>
      <c r="AU268" s="279">
        <v>0</v>
      </c>
      <c r="AV268" s="276">
        <v>0</v>
      </c>
      <c r="AW268" s="276">
        <v>0</v>
      </c>
      <c r="AX268" s="279">
        <v>0</v>
      </c>
      <c r="AY268" s="276">
        <v>0</v>
      </c>
      <c r="AZ268" s="276">
        <v>0</v>
      </c>
      <c r="BA268" s="278" t="s">
        <v>551</v>
      </c>
      <c r="BB268" s="276">
        <v>0</v>
      </c>
      <c r="BC268" s="279">
        <v>0</v>
      </c>
      <c r="BD268" s="276">
        <v>0</v>
      </c>
      <c r="BE268" s="276">
        <v>0</v>
      </c>
      <c r="BF268" s="279">
        <v>0</v>
      </c>
      <c r="BG268" s="276">
        <v>0</v>
      </c>
      <c r="BH268" s="276">
        <v>0</v>
      </c>
      <c r="BI268" s="278" t="s">
        <v>550</v>
      </c>
      <c r="BJ268" s="276">
        <v>0</v>
      </c>
      <c r="BK268" s="276">
        <v>0</v>
      </c>
      <c r="BL268" s="276">
        <v>0</v>
      </c>
      <c r="BM268" s="276">
        <v>0</v>
      </c>
      <c r="BN268" s="276">
        <v>0</v>
      </c>
      <c r="BO268" s="276">
        <v>0</v>
      </c>
      <c r="BP268" s="276">
        <v>0</v>
      </c>
    </row>
    <row r="269" spans="1:68" x14ac:dyDescent="0.35">
      <c r="A269" s="277" t="s">
        <v>563</v>
      </c>
      <c r="B269" s="277" t="s">
        <v>562</v>
      </c>
      <c r="C269" s="283" t="s">
        <v>649</v>
      </c>
      <c r="D269" s="277" t="s">
        <v>560</v>
      </c>
      <c r="F269" s="277" t="s">
        <v>648</v>
      </c>
      <c r="K269" s="277" t="s">
        <v>555</v>
      </c>
      <c r="L269" s="277" t="s">
        <v>557</v>
      </c>
      <c r="N269" s="277" t="s">
        <v>558</v>
      </c>
      <c r="O269" s="277" t="s">
        <v>555</v>
      </c>
      <c r="P269" s="277" t="s">
        <v>557</v>
      </c>
      <c r="Q269" s="277" t="s">
        <v>556</v>
      </c>
      <c r="R269" s="277" t="s">
        <v>555</v>
      </c>
      <c r="S269" s="276">
        <v>0</v>
      </c>
      <c r="T269" s="276">
        <v>0</v>
      </c>
      <c r="U269" s="276">
        <v>0</v>
      </c>
      <c r="V269" s="276">
        <v>0</v>
      </c>
      <c r="W269" s="276">
        <v>0</v>
      </c>
      <c r="X269" s="276">
        <v>0</v>
      </c>
      <c r="Y269" s="276">
        <v>0</v>
      </c>
      <c r="Z269" s="276">
        <v>0</v>
      </c>
      <c r="AA269" s="276">
        <v>0</v>
      </c>
      <c r="AB269" s="276">
        <v>0</v>
      </c>
      <c r="AC269" s="276"/>
      <c r="AD269" s="276">
        <v>0</v>
      </c>
      <c r="AE269" s="276"/>
      <c r="AF269" s="276">
        <v>0</v>
      </c>
      <c r="AG269" s="276">
        <v>0</v>
      </c>
      <c r="AH269" s="283" t="s">
        <v>86</v>
      </c>
      <c r="AI269" s="282" t="s">
        <v>645</v>
      </c>
      <c r="AJ269" s="281" t="s">
        <v>553</v>
      </c>
      <c r="AK269" s="280" t="s">
        <v>552</v>
      </c>
      <c r="AL269" s="276">
        <v>1.1000000000000001</v>
      </c>
      <c r="AM269" s="279">
        <v>0</v>
      </c>
      <c r="AN269" s="276">
        <v>0</v>
      </c>
      <c r="AO269" s="276">
        <v>1.1000000000000001</v>
      </c>
      <c r="AP269" s="279">
        <v>0</v>
      </c>
      <c r="AQ269" s="276">
        <v>0</v>
      </c>
      <c r="AR269" s="276">
        <v>0</v>
      </c>
      <c r="AS269" s="271">
        <v>2</v>
      </c>
      <c r="AT269" s="276">
        <v>0</v>
      </c>
      <c r="AU269" s="279">
        <v>0</v>
      </c>
      <c r="AV269" s="276">
        <v>0</v>
      </c>
      <c r="AW269" s="276">
        <v>0</v>
      </c>
      <c r="AX269" s="279">
        <v>0</v>
      </c>
      <c r="AY269" s="276">
        <v>0</v>
      </c>
      <c r="AZ269" s="276">
        <v>0</v>
      </c>
      <c r="BA269" s="278" t="s">
        <v>551</v>
      </c>
      <c r="BB269" s="276">
        <v>0</v>
      </c>
      <c r="BC269" s="279">
        <v>0</v>
      </c>
      <c r="BD269" s="276">
        <v>0</v>
      </c>
      <c r="BE269" s="276">
        <v>0</v>
      </c>
      <c r="BF269" s="279">
        <v>0</v>
      </c>
      <c r="BG269" s="276">
        <v>0</v>
      </c>
      <c r="BH269" s="276">
        <v>0</v>
      </c>
      <c r="BI269" s="278" t="s">
        <v>550</v>
      </c>
      <c r="BJ269" s="276">
        <v>0</v>
      </c>
      <c r="BK269" s="276">
        <v>0</v>
      </c>
      <c r="BL269" s="276">
        <v>0</v>
      </c>
      <c r="BM269" s="276">
        <v>0</v>
      </c>
      <c r="BN269" s="276">
        <v>0</v>
      </c>
      <c r="BO269" s="276">
        <v>0</v>
      </c>
      <c r="BP269" s="276">
        <v>0</v>
      </c>
    </row>
    <row r="270" spans="1:68" x14ac:dyDescent="0.35">
      <c r="A270" s="277" t="s">
        <v>563</v>
      </c>
      <c r="B270" s="277" t="s">
        <v>562</v>
      </c>
      <c r="C270" s="283" t="s">
        <v>647</v>
      </c>
      <c r="D270" s="277" t="s">
        <v>560</v>
      </c>
      <c r="F270" s="277" t="s">
        <v>646</v>
      </c>
      <c r="K270" s="277" t="s">
        <v>555</v>
      </c>
      <c r="L270" s="277" t="s">
        <v>557</v>
      </c>
      <c r="N270" s="277" t="s">
        <v>558</v>
      </c>
      <c r="O270" s="277" t="s">
        <v>555</v>
      </c>
      <c r="P270" s="277" t="s">
        <v>557</v>
      </c>
      <c r="Q270" s="277" t="s">
        <v>556</v>
      </c>
      <c r="R270" s="277" t="s">
        <v>555</v>
      </c>
      <c r="S270" s="276">
        <v>0</v>
      </c>
      <c r="T270" s="276">
        <v>0</v>
      </c>
      <c r="U270" s="276">
        <v>0</v>
      </c>
      <c r="V270" s="276">
        <v>0</v>
      </c>
      <c r="W270" s="276">
        <v>0</v>
      </c>
      <c r="X270" s="276">
        <v>0</v>
      </c>
      <c r="Y270" s="276">
        <v>0</v>
      </c>
      <c r="Z270" s="276">
        <v>0</v>
      </c>
      <c r="AA270" s="276">
        <v>0</v>
      </c>
      <c r="AB270" s="276">
        <v>0</v>
      </c>
      <c r="AC270" s="276"/>
      <c r="AD270" s="276">
        <v>0</v>
      </c>
      <c r="AE270" s="276"/>
      <c r="AF270" s="276">
        <v>0</v>
      </c>
      <c r="AG270" s="276">
        <v>0</v>
      </c>
      <c r="AH270" s="283" t="s">
        <v>86</v>
      </c>
      <c r="AI270" s="282" t="s">
        <v>641</v>
      </c>
      <c r="AJ270" s="281" t="s">
        <v>553</v>
      </c>
      <c r="AK270" s="280" t="s">
        <v>552</v>
      </c>
      <c r="AL270" s="276">
        <v>1.34</v>
      </c>
      <c r="AM270" s="279">
        <v>0</v>
      </c>
      <c r="AN270" s="276">
        <v>0</v>
      </c>
      <c r="AO270" s="276">
        <v>1.34</v>
      </c>
      <c r="AP270" s="279">
        <v>0</v>
      </c>
      <c r="AQ270" s="276">
        <v>0</v>
      </c>
      <c r="AR270" s="276">
        <v>0</v>
      </c>
      <c r="AS270" s="271">
        <v>2</v>
      </c>
      <c r="AT270" s="276">
        <v>0</v>
      </c>
      <c r="AU270" s="279">
        <v>0</v>
      </c>
      <c r="AV270" s="276">
        <v>0</v>
      </c>
      <c r="AW270" s="276">
        <v>0</v>
      </c>
      <c r="AX270" s="279">
        <v>0</v>
      </c>
      <c r="AY270" s="276">
        <v>0</v>
      </c>
      <c r="AZ270" s="276">
        <v>0</v>
      </c>
      <c r="BA270" s="278" t="s">
        <v>551</v>
      </c>
      <c r="BB270" s="276">
        <v>0</v>
      </c>
      <c r="BC270" s="279">
        <v>0</v>
      </c>
      <c r="BD270" s="276">
        <v>0</v>
      </c>
      <c r="BE270" s="276">
        <v>0</v>
      </c>
      <c r="BF270" s="279">
        <v>0</v>
      </c>
      <c r="BG270" s="276">
        <v>0</v>
      </c>
      <c r="BH270" s="276">
        <v>0</v>
      </c>
      <c r="BI270" s="278" t="s">
        <v>550</v>
      </c>
      <c r="BJ270" s="276">
        <v>0</v>
      </c>
      <c r="BK270" s="276">
        <v>0</v>
      </c>
      <c r="BL270" s="276">
        <v>0</v>
      </c>
      <c r="BM270" s="276">
        <v>0</v>
      </c>
      <c r="BN270" s="276">
        <v>0</v>
      </c>
      <c r="BO270" s="276">
        <v>0</v>
      </c>
      <c r="BP270" s="276">
        <v>0</v>
      </c>
    </row>
    <row r="271" spans="1:68" x14ac:dyDescent="0.35">
      <c r="A271" s="277" t="s">
        <v>563</v>
      </c>
      <c r="B271" s="277" t="s">
        <v>562</v>
      </c>
      <c r="C271" s="283" t="s">
        <v>645</v>
      </c>
      <c r="D271" s="277" t="s">
        <v>560</v>
      </c>
      <c r="F271" s="277" t="s">
        <v>644</v>
      </c>
      <c r="K271" s="277" t="s">
        <v>555</v>
      </c>
      <c r="L271" s="277" t="s">
        <v>557</v>
      </c>
      <c r="N271" s="277" t="s">
        <v>558</v>
      </c>
      <c r="O271" s="277" t="s">
        <v>555</v>
      </c>
      <c r="P271" s="277" t="s">
        <v>557</v>
      </c>
      <c r="Q271" s="277" t="s">
        <v>556</v>
      </c>
      <c r="R271" s="277" t="s">
        <v>555</v>
      </c>
      <c r="S271" s="276">
        <v>0</v>
      </c>
      <c r="T271" s="276">
        <v>0</v>
      </c>
      <c r="U271" s="276">
        <v>0</v>
      </c>
      <c r="V271" s="276">
        <v>0</v>
      </c>
      <c r="W271" s="276">
        <v>0</v>
      </c>
      <c r="X271" s="276">
        <v>0</v>
      </c>
      <c r="Y271" s="276">
        <v>0</v>
      </c>
      <c r="Z271" s="276">
        <v>0</v>
      </c>
      <c r="AA271" s="276">
        <v>0</v>
      </c>
      <c r="AB271" s="276">
        <v>0</v>
      </c>
      <c r="AC271" s="276"/>
      <c r="AD271" s="276">
        <v>0</v>
      </c>
      <c r="AE271" s="276"/>
      <c r="AF271" s="276">
        <v>0</v>
      </c>
      <c r="AG271" s="276">
        <v>0</v>
      </c>
      <c r="AH271" s="283" t="s">
        <v>483</v>
      </c>
      <c r="AJ271" s="281" t="s">
        <v>553</v>
      </c>
      <c r="AK271" s="280" t="s">
        <v>552</v>
      </c>
      <c r="AL271" s="276">
        <v>0.89</v>
      </c>
      <c r="AM271" s="279">
        <v>0</v>
      </c>
      <c r="AN271" s="276">
        <v>0</v>
      </c>
      <c r="AO271" s="276">
        <v>0.89</v>
      </c>
      <c r="AP271" s="279">
        <v>0</v>
      </c>
      <c r="AQ271" s="276">
        <v>0</v>
      </c>
      <c r="AR271" s="276">
        <v>0</v>
      </c>
      <c r="AS271" s="271">
        <v>2</v>
      </c>
      <c r="AT271" s="276">
        <v>0</v>
      </c>
      <c r="AU271" s="279">
        <v>0</v>
      </c>
      <c r="AV271" s="276">
        <v>0</v>
      </c>
      <c r="AW271" s="276">
        <v>0</v>
      </c>
      <c r="AX271" s="279">
        <v>0</v>
      </c>
      <c r="AY271" s="276">
        <v>0</v>
      </c>
      <c r="AZ271" s="276">
        <v>0</v>
      </c>
      <c r="BA271" s="278" t="s">
        <v>551</v>
      </c>
      <c r="BB271" s="276">
        <v>0</v>
      </c>
      <c r="BC271" s="279">
        <v>0</v>
      </c>
      <c r="BD271" s="276">
        <v>0</v>
      </c>
      <c r="BE271" s="276">
        <v>0</v>
      </c>
      <c r="BF271" s="279">
        <v>0</v>
      </c>
      <c r="BG271" s="276">
        <v>0</v>
      </c>
      <c r="BH271" s="276">
        <v>0</v>
      </c>
      <c r="BI271" s="278" t="s">
        <v>550</v>
      </c>
      <c r="BJ271" s="276">
        <v>0</v>
      </c>
      <c r="BK271" s="276">
        <v>0</v>
      </c>
      <c r="BL271" s="276">
        <v>0</v>
      </c>
      <c r="BM271" s="276">
        <v>0</v>
      </c>
      <c r="BN271" s="276">
        <v>0</v>
      </c>
      <c r="BO271" s="276">
        <v>0</v>
      </c>
      <c r="BP271" s="276">
        <v>0</v>
      </c>
    </row>
    <row r="272" spans="1:68" x14ac:dyDescent="0.35">
      <c r="A272" s="277" t="s">
        <v>563</v>
      </c>
      <c r="B272" s="277" t="s">
        <v>562</v>
      </c>
      <c r="C272" s="283" t="s">
        <v>643</v>
      </c>
      <c r="D272" s="277" t="s">
        <v>560</v>
      </c>
      <c r="F272" s="277" t="s">
        <v>642</v>
      </c>
      <c r="K272" s="277" t="s">
        <v>555</v>
      </c>
      <c r="L272" s="277" t="s">
        <v>557</v>
      </c>
      <c r="N272" s="277" t="s">
        <v>558</v>
      </c>
      <c r="O272" s="277" t="s">
        <v>555</v>
      </c>
      <c r="P272" s="277" t="s">
        <v>557</v>
      </c>
      <c r="Q272" s="277" t="s">
        <v>556</v>
      </c>
      <c r="R272" s="277" t="s">
        <v>555</v>
      </c>
      <c r="S272" s="276">
        <v>0</v>
      </c>
      <c r="T272" s="276">
        <v>0</v>
      </c>
      <c r="U272" s="276">
        <v>0</v>
      </c>
      <c r="V272" s="276">
        <v>0</v>
      </c>
      <c r="W272" s="276">
        <v>0</v>
      </c>
      <c r="X272" s="276">
        <v>0</v>
      </c>
      <c r="Y272" s="276">
        <v>0</v>
      </c>
      <c r="Z272" s="276">
        <v>0</v>
      </c>
      <c r="AA272" s="276">
        <v>0</v>
      </c>
      <c r="AB272" s="276">
        <v>0</v>
      </c>
      <c r="AC272" s="276"/>
      <c r="AD272" s="276">
        <v>0</v>
      </c>
      <c r="AE272" s="276"/>
      <c r="AF272" s="276">
        <v>0</v>
      </c>
      <c r="AG272" s="276">
        <v>0</v>
      </c>
      <c r="AH272" s="283" t="s">
        <v>483</v>
      </c>
      <c r="AJ272" s="281" t="s">
        <v>553</v>
      </c>
      <c r="AK272" s="280" t="s">
        <v>552</v>
      </c>
      <c r="AL272" s="276">
        <v>1.25</v>
      </c>
      <c r="AM272" s="279">
        <v>0</v>
      </c>
      <c r="AN272" s="276">
        <v>0</v>
      </c>
      <c r="AO272" s="276">
        <v>1.25</v>
      </c>
      <c r="AP272" s="279">
        <v>0</v>
      </c>
      <c r="AQ272" s="276">
        <v>0</v>
      </c>
      <c r="AR272" s="276">
        <v>0</v>
      </c>
      <c r="AS272" s="271">
        <v>2</v>
      </c>
      <c r="AT272" s="276">
        <v>0</v>
      </c>
      <c r="AU272" s="279">
        <v>0</v>
      </c>
      <c r="AV272" s="276">
        <v>0</v>
      </c>
      <c r="AW272" s="276">
        <v>0</v>
      </c>
      <c r="AX272" s="279">
        <v>0</v>
      </c>
      <c r="AY272" s="276">
        <v>0</v>
      </c>
      <c r="AZ272" s="276">
        <v>0</v>
      </c>
      <c r="BA272" s="278" t="s">
        <v>551</v>
      </c>
      <c r="BB272" s="276">
        <v>0</v>
      </c>
      <c r="BC272" s="279">
        <v>0</v>
      </c>
      <c r="BD272" s="276">
        <v>0</v>
      </c>
      <c r="BE272" s="276">
        <v>0</v>
      </c>
      <c r="BF272" s="279">
        <v>0</v>
      </c>
      <c r="BG272" s="276">
        <v>0</v>
      </c>
      <c r="BH272" s="276">
        <v>0</v>
      </c>
      <c r="BI272" s="278" t="s">
        <v>550</v>
      </c>
      <c r="BJ272" s="276">
        <v>0</v>
      </c>
      <c r="BK272" s="276">
        <v>0</v>
      </c>
      <c r="BL272" s="276">
        <v>0</v>
      </c>
      <c r="BM272" s="276">
        <v>0</v>
      </c>
      <c r="BN272" s="276">
        <v>0</v>
      </c>
      <c r="BO272" s="276">
        <v>0</v>
      </c>
      <c r="BP272" s="276">
        <v>0</v>
      </c>
    </row>
    <row r="273" spans="1:68" x14ac:dyDescent="0.35">
      <c r="A273" s="277" t="s">
        <v>563</v>
      </c>
      <c r="B273" s="277" t="s">
        <v>562</v>
      </c>
      <c r="C273" s="283" t="s">
        <v>641</v>
      </c>
      <c r="D273" s="277" t="s">
        <v>560</v>
      </c>
      <c r="F273" s="277" t="s">
        <v>640</v>
      </c>
      <c r="K273" s="277" t="s">
        <v>555</v>
      </c>
      <c r="L273" s="277" t="s">
        <v>557</v>
      </c>
      <c r="N273" s="277" t="s">
        <v>558</v>
      </c>
      <c r="O273" s="277" t="s">
        <v>555</v>
      </c>
      <c r="P273" s="277" t="s">
        <v>557</v>
      </c>
      <c r="Q273" s="277" t="s">
        <v>556</v>
      </c>
      <c r="R273" s="277" t="s">
        <v>555</v>
      </c>
      <c r="S273" s="276">
        <v>0</v>
      </c>
      <c r="T273" s="276">
        <v>0</v>
      </c>
      <c r="U273" s="276">
        <v>0</v>
      </c>
      <c r="V273" s="276">
        <v>0</v>
      </c>
      <c r="W273" s="276">
        <v>0</v>
      </c>
      <c r="X273" s="276">
        <v>0</v>
      </c>
      <c r="Y273" s="276">
        <v>0</v>
      </c>
      <c r="Z273" s="276">
        <v>0</v>
      </c>
      <c r="AA273" s="276">
        <v>0</v>
      </c>
      <c r="AB273" s="276">
        <v>0</v>
      </c>
      <c r="AC273" s="276"/>
      <c r="AD273" s="276">
        <v>0</v>
      </c>
      <c r="AE273" s="276"/>
      <c r="AF273" s="276">
        <v>0</v>
      </c>
      <c r="AG273" s="276">
        <v>0</v>
      </c>
      <c r="AH273" s="283" t="s">
        <v>483</v>
      </c>
      <c r="AJ273" s="281" t="s">
        <v>553</v>
      </c>
      <c r="AK273" s="280" t="s">
        <v>552</v>
      </c>
      <c r="AL273" s="276">
        <v>0.95</v>
      </c>
      <c r="AM273" s="279">
        <v>0</v>
      </c>
      <c r="AN273" s="276">
        <v>0</v>
      </c>
      <c r="AO273" s="276">
        <v>0.95</v>
      </c>
      <c r="AP273" s="279">
        <v>0</v>
      </c>
      <c r="AQ273" s="276">
        <v>0</v>
      </c>
      <c r="AR273" s="276">
        <v>0</v>
      </c>
      <c r="AS273" s="271">
        <v>2</v>
      </c>
      <c r="AT273" s="276">
        <v>0</v>
      </c>
      <c r="AU273" s="279">
        <v>0</v>
      </c>
      <c r="AV273" s="276">
        <v>0</v>
      </c>
      <c r="AW273" s="276">
        <v>0</v>
      </c>
      <c r="AX273" s="279">
        <v>0</v>
      </c>
      <c r="AY273" s="276">
        <v>0</v>
      </c>
      <c r="AZ273" s="276">
        <v>0</v>
      </c>
      <c r="BA273" s="278" t="s">
        <v>551</v>
      </c>
      <c r="BB273" s="276">
        <v>0</v>
      </c>
      <c r="BC273" s="279">
        <v>0</v>
      </c>
      <c r="BD273" s="276">
        <v>0</v>
      </c>
      <c r="BE273" s="276">
        <v>0</v>
      </c>
      <c r="BF273" s="279">
        <v>0</v>
      </c>
      <c r="BG273" s="276">
        <v>0</v>
      </c>
      <c r="BH273" s="276">
        <v>0</v>
      </c>
      <c r="BI273" s="278" t="s">
        <v>550</v>
      </c>
      <c r="BJ273" s="276">
        <v>0</v>
      </c>
      <c r="BK273" s="276">
        <v>0</v>
      </c>
      <c r="BL273" s="276">
        <v>0</v>
      </c>
      <c r="BM273" s="276">
        <v>0</v>
      </c>
      <c r="BN273" s="276">
        <v>0</v>
      </c>
      <c r="BO273" s="276">
        <v>0</v>
      </c>
      <c r="BP273" s="276">
        <v>0</v>
      </c>
    </row>
    <row r="274" spans="1:68" x14ac:dyDescent="0.35">
      <c r="A274" s="277" t="s">
        <v>563</v>
      </c>
      <c r="B274" s="277" t="s">
        <v>562</v>
      </c>
      <c r="C274" s="283" t="s">
        <v>639</v>
      </c>
      <c r="D274" s="277" t="s">
        <v>560</v>
      </c>
      <c r="F274" s="277" t="s">
        <v>638</v>
      </c>
      <c r="K274" s="277" t="s">
        <v>555</v>
      </c>
      <c r="L274" s="277" t="s">
        <v>557</v>
      </c>
      <c r="N274" s="277" t="s">
        <v>558</v>
      </c>
      <c r="O274" s="277" t="s">
        <v>555</v>
      </c>
      <c r="P274" s="277" t="s">
        <v>557</v>
      </c>
      <c r="Q274" s="277" t="s">
        <v>556</v>
      </c>
      <c r="R274" s="277" t="s">
        <v>555</v>
      </c>
      <c r="S274" s="276">
        <v>0</v>
      </c>
      <c r="T274" s="276">
        <v>0</v>
      </c>
      <c r="U274" s="276">
        <v>0</v>
      </c>
      <c r="V274" s="276">
        <v>0</v>
      </c>
      <c r="W274" s="276">
        <v>0</v>
      </c>
      <c r="X274" s="276">
        <v>0</v>
      </c>
      <c r="Y274" s="276">
        <v>0</v>
      </c>
      <c r="Z274" s="276">
        <v>0</v>
      </c>
      <c r="AA274" s="276">
        <v>0</v>
      </c>
      <c r="AB274" s="276">
        <v>0</v>
      </c>
      <c r="AC274" s="276"/>
      <c r="AD274" s="276">
        <v>0</v>
      </c>
      <c r="AE274" s="276"/>
      <c r="AF274" s="276">
        <v>0</v>
      </c>
      <c r="AG274" s="276">
        <v>0</v>
      </c>
      <c r="AH274" s="283" t="s">
        <v>86</v>
      </c>
      <c r="AI274" s="282" t="s">
        <v>447</v>
      </c>
      <c r="AJ274" s="281" t="s">
        <v>553</v>
      </c>
      <c r="AK274" s="280" t="s">
        <v>552</v>
      </c>
      <c r="AL274" s="276">
        <v>1.2</v>
      </c>
      <c r="AM274" s="279">
        <v>0</v>
      </c>
      <c r="AN274" s="276">
        <v>0</v>
      </c>
      <c r="AO274" s="276">
        <v>1.2</v>
      </c>
      <c r="AP274" s="279">
        <v>0</v>
      </c>
      <c r="AQ274" s="276">
        <v>0</v>
      </c>
      <c r="AR274" s="276">
        <v>0</v>
      </c>
      <c r="AS274" s="271">
        <v>2</v>
      </c>
      <c r="AT274" s="276">
        <v>0</v>
      </c>
      <c r="AU274" s="279">
        <v>0</v>
      </c>
      <c r="AV274" s="276">
        <v>0</v>
      </c>
      <c r="AW274" s="276">
        <v>0</v>
      </c>
      <c r="AX274" s="279">
        <v>0</v>
      </c>
      <c r="AY274" s="276">
        <v>0</v>
      </c>
      <c r="AZ274" s="276">
        <v>0</v>
      </c>
      <c r="BA274" s="278" t="s">
        <v>551</v>
      </c>
      <c r="BB274" s="276">
        <v>0</v>
      </c>
      <c r="BC274" s="279">
        <v>0</v>
      </c>
      <c r="BD274" s="276">
        <v>0</v>
      </c>
      <c r="BE274" s="276">
        <v>0</v>
      </c>
      <c r="BF274" s="279">
        <v>0</v>
      </c>
      <c r="BG274" s="276">
        <v>0</v>
      </c>
      <c r="BH274" s="276">
        <v>0</v>
      </c>
      <c r="BI274" s="278" t="s">
        <v>550</v>
      </c>
      <c r="BJ274" s="276">
        <v>0</v>
      </c>
      <c r="BK274" s="276">
        <v>0</v>
      </c>
      <c r="BL274" s="276">
        <v>0</v>
      </c>
      <c r="BM274" s="276">
        <v>0</v>
      </c>
      <c r="BN274" s="276">
        <v>0</v>
      </c>
      <c r="BO274" s="276">
        <v>0</v>
      </c>
      <c r="BP274" s="276">
        <v>0</v>
      </c>
    </row>
    <row r="275" spans="1:68" x14ac:dyDescent="0.35">
      <c r="A275" s="277" t="s">
        <v>563</v>
      </c>
      <c r="B275" s="277" t="s">
        <v>562</v>
      </c>
      <c r="C275" s="283" t="s">
        <v>637</v>
      </c>
      <c r="D275" s="277" t="s">
        <v>560</v>
      </c>
      <c r="F275" s="277" t="s">
        <v>636</v>
      </c>
      <c r="K275" s="277" t="s">
        <v>555</v>
      </c>
      <c r="L275" s="277" t="s">
        <v>557</v>
      </c>
      <c r="N275" s="277" t="s">
        <v>558</v>
      </c>
      <c r="O275" s="277" t="s">
        <v>555</v>
      </c>
      <c r="P275" s="277" t="s">
        <v>557</v>
      </c>
      <c r="Q275" s="277" t="s">
        <v>556</v>
      </c>
      <c r="R275" s="277" t="s">
        <v>555</v>
      </c>
      <c r="S275" s="276">
        <v>0</v>
      </c>
      <c r="T275" s="276">
        <v>0</v>
      </c>
      <c r="U275" s="276">
        <v>0</v>
      </c>
      <c r="V275" s="276">
        <v>0</v>
      </c>
      <c r="W275" s="276">
        <v>0</v>
      </c>
      <c r="X275" s="276">
        <v>0</v>
      </c>
      <c r="Y275" s="276">
        <v>0</v>
      </c>
      <c r="Z275" s="276">
        <v>0</v>
      </c>
      <c r="AA275" s="276">
        <v>0</v>
      </c>
      <c r="AB275" s="276">
        <v>0</v>
      </c>
      <c r="AC275" s="276"/>
      <c r="AD275" s="276">
        <v>0</v>
      </c>
      <c r="AE275" s="276"/>
      <c r="AF275" s="276">
        <v>0</v>
      </c>
      <c r="AG275" s="276">
        <v>0</v>
      </c>
      <c r="AH275" s="283" t="s">
        <v>86</v>
      </c>
      <c r="AI275" s="282" t="s">
        <v>449</v>
      </c>
      <c r="AJ275" s="281" t="s">
        <v>553</v>
      </c>
      <c r="AK275" s="280" t="s">
        <v>552</v>
      </c>
      <c r="AL275" s="276">
        <v>2.4</v>
      </c>
      <c r="AM275" s="279">
        <v>0</v>
      </c>
      <c r="AN275" s="276">
        <v>0</v>
      </c>
      <c r="AO275" s="276">
        <v>2.4</v>
      </c>
      <c r="AP275" s="279">
        <v>0</v>
      </c>
      <c r="AQ275" s="276">
        <v>0</v>
      </c>
      <c r="AR275" s="276">
        <v>0</v>
      </c>
      <c r="AS275" s="271">
        <v>2</v>
      </c>
      <c r="AT275" s="276">
        <v>0</v>
      </c>
      <c r="AU275" s="279">
        <v>0</v>
      </c>
      <c r="AV275" s="276">
        <v>0</v>
      </c>
      <c r="AW275" s="276">
        <v>0</v>
      </c>
      <c r="AX275" s="279">
        <v>0</v>
      </c>
      <c r="AY275" s="276">
        <v>0</v>
      </c>
      <c r="AZ275" s="276">
        <v>0</v>
      </c>
      <c r="BA275" s="278" t="s">
        <v>551</v>
      </c>
      <c r="BB275" s="276">
        <v>0</v>
      </c>
      <c r="BC275" s="279">
        <v>0</v>
      </c>
      <c r="BD275" s="276">
        <v>0</v>
      </c>
      <c r="BE275" s="276">
        <v>0</v>
      </c>
      <c r="BF275" s="279">
        <v>0</v>
      </c>
      <c r="BG275" s="276">
        <v>0</v>
      </c>
      <c r="BH275" s="276">
        <v>0</v>
      </c>
      <c r="BI275" s="278" t="s">
        <v>550</v>
      </c>
      <c r="BJ275" s="276">
        <v>0</v>
      </c>
      <c r="BK275" s="276">
        <v>0</v>
      </c>
      <c r="BL275" s="276">
        <v>0</v>
      </c>
      <c r="BM275" s="276">
        <v>0</v>
      </c>
      <c r="BN275" s="276">
        <v>0</v>
      </c>
      <c r="BO275" s="276">
        <v>0</v>
      </c>
      <c r="BP275" s="276">
        <v>0</v>
      </c>
    </row>
    <row r="276" spans="1:68" x14ac:dyDescent="0.35">
      <c r="A276" s="277" t="s">
        <v>563</v>
      </c>
      <c r="B276" s="277" t="s">
        <v>562</v>
      </c>
      <c r="C276" s="283" t="s">
        <v>635</v>
      </c>
      <c r="D276" s="277" t="s">
        <v>560</v>
      </c>
      <c r="F276" s="277" t="s">
        <v>634</v>
      </c>
      <c r="K276" s="277" t="s">
        <v>555</v>
      </c>
      <c r="L276" s="277" t="s">
        <v>557</v>
      </c>
      <c r="N276" s="277" t="s">
        <v>558</v>
      </c>
      <c r="O276" s="277" t="s">
        <v>555</v>
      </c>
      <c r="P276" s="277" t="s">
        <v>557</v>
      </c>
      <c r="Q276" s="277" t="s">
        <v>556</v>
      </c>
      <c r="R276" s="277" t="s">
        <v>555</v>
      </c>
      <c r="S276" s="276">
        <v>0</v>
      </c>
      <c r="T276" s="276">
        <v>0</v>
      </c>
      <c r="U276" s="276">
        <v>0</v>
      </c>
      <c r="V276" s="276">
        <v>0</v>
      </c>
      <c r="W276" s="276">
        <v>0</v>
      </c>
      <c r="X276" s="276">
        <v>0</v>
      </c>
      <c r="Y276" s="276">
        <v>0</v>
      </c>
      <c r="Z276" s="276">
        <v>0</v>
      </c>
      <c r="AA276" s="276">
        <v>0</v>
      </c>
      <c r="AB276" s="276">
        <v>0</v>
      </c>
      <c r="AC276" s="276"/>
      <c r="AD276" s="276">
        <v>0</v>
      </c>
      <c r="AE276" s="276"/>
      <c r="AF276" s="276">
        <v>0</v>
      </c>
      <c r="AG276" s="276">
        <v>0</v>
      </c>
      <c r="AH276" s="283" t="s">
        <v>86</v>
      </c>
      <c r="AI276" s="282" t="s">
        <v>451</v>
      </c>
      <c r="AJ276" s="281" t="s">
        <v>553</v>
      </c>
      <c r="AK276" s="280" t="s">
        <v>552</v>
      </c>
      <c r="AL276" s="276">
        <v>1.19</v>
      </c>
      <c r="AM276" s="279">
        <v>0</v>
      </c>
      <c r="AN276" s="276">
        <v>0</v>
      </c>
      <c r="AO276" s="276">
        <v>1.19</v>
      </c>
      <c r="AP276" s="279">
        <v>0</v>
      </c>
      <c r="AQ276" s="276">
        <v>0</v>
      </c>
      <c r="AR276" s="276">
        <v>0</v>
      </c>
      <c r="AS276" s="271">
        <v>2</v>
      </c>
      <c r="AT276" s="276">
        <v>0</v>
      </c>
      <c r="AU276" s="279">
        <v>0</v>
      </c>
      <c r="AV276" s="276">
        <v>0</v>
      </c>
      <c r="AW276" s="276">
        <v>0</v>
      </c>
      <c r="AX276" s="279">
        <v>0</v>
      </c>
      <c r="AY276" s="276">
        <v>0</v>
      </c>
      <c r="AZ276" s="276">
        <v>0</v>
      </c>
      <c r="BA276" s="278" t="s">
        <v>551</v>
      </c>
      <c r="BB276" s="276">
        <v>0</v>
      </c>
      <c r="BC276" s="279">
        <v>0</v>
      </c>
      <c r="BD276" s="276">
        <v>0</v>
      </c>
      <c r="BE276" s="276">
        <v>0</v>
      </c>
      <c r="BF276" s="279">
        <v>0</v>
      </c>
      <c r="BG276" s="276">
        <v>0</v>
      </c>
      <c r="BH276" s="276">
        <v>0</v>
      </c>
      <c r="BI276" s="278" t="s">
        <v>550</v>
      </c>
      <c r="BJ276" s="276">
        <v>0</v>
      </c>
      <c r="BK276" s="276">
        <v>0</v>
      </c>
      <c r="BL276" s="276">
        <v>0</v>
      </c>
      <c r="BM276" s="276">
        <v>0</v>
      </c>
      <c r="BN276" s="276">
        <v>0</v>
      </c>
      <c r="BO276" s="276">
        <v>0</v>
      </c>
      <c r="BP276" s="276">
        <v>0</v>
      </c>
    </row>
    <row r="277" spans="1:68" x14ac:dyDescent="0.35">
      <c r="A277" s="277" t="s">
        <v>563</v>
      </c>
      <c r="B277" s="277" t="s">
        <v>562</v>
      </c>
      <c r="C277" s="283" t="s">
        <v>447</v>
      </c>
      <c r="D277" s="277" t="s">
        <v>560</v>
      </c>
      <c r="F277" s="277" t="s">
        <v>633</v>
      </c>
      <c r="K277" s="277" t="s">
        <v>555</v>
      </c>
      <c r="L277" s="277" t="s">
        <v>557</v>
      </c>
      <c r="N277" s="277" t="s">
        <v>558</v>
      </c>
      <c r="O277" s="277" t="s">
        <v>555</v>
      </c>
      <c r="P277" s="277" t="s">
        <v>557</v>
      </c>
      <c r="Q277" s="277" t="s">
        <v>556</v>
      </c>
      <c r="R277" s="277" t="s">
        <v>555</v>
      </c>
      <c r="S277" s="276">
        <v>0</v>
      </c>
      <c r="T277" s="276">
        <v>0</v>
      </c>
      <c r="U277" s="276">
        <v>0</v>
      </c>
      <c r="V277" s="276">
        <v>0</v>
      </c>
      <c r="W277" s="276">
        <v>0</v>
      </c>
      <c r="X277" s="276">
        <v>0</v>
      </c>
      <c r="Y277" s="276">
        <v>0</v>
      </c>
      <c r="Z277" s="276">
        <v>0</v>
      </c>
      <c r="AA277" s="276">
        <v>0</v>
      </c>
      <c r="AB277" s="276">
        <v>0</v>
      </c>
      <c r="AC277" s="276"/>
      <c r="AD277" s="276">
        <v>0</v>
      </c>
      <c r="AE277" s="276"/>
      <c r="AF277" s="276">
        <v>0</v>
      </c>
      <c r="AG277" s="276">
        <v>0</v>
      </c>
      <c r="AH277" s="283" t="s">
        <v>483</v>
      </c>
      <c r="AJ277" s="281" t="s">
        <v>553</v>
      </c>
      <c r="AK277" s="280" t="s">
        <v>552</v>
      </c>
      <c r="AL277" s="276">
        <v>0.66</v>
      </c>
      <c r="AM277" s="279">
        <v>0</v>
      </c>
      <c r="AN277" s="276">
        <v>0</v>
      </c>
      <c r="AO277" s="276">
        <v>0.66</v>
      </c>
      <c r="AP277" s="279">
        <v>0</v>
      </c>
      <c r="AQ277" s="276">
        <v>0</v>
      </c>
      <c r="AR277" s="276">
        <v>0</v>
      </c>
      <c r="AS277" s="271">
        <v>2</v>
      </c>
      <c r="AT277" s="276">
        <v>0</v>
      </c>
      <c r="AU277" s="279">
        <v>0</v>
      </c>
      <c r="AV277" s="276">
        <v>0</v>
      </c>
      <c r="AW277" s="276">
        <v>0</v>
      </c>
      <c r="AX277" s="279">
        <v>0</v>
      </c>
      <c r="AY277" s="276">
        <v>0</v>
      </c>
      <c r="AZ277" s="276">
        <v>0</v>
      </c>
      <c r="BA277" s="278" t="s">
        <v>551</v>
      </c>
      <c r="BB277" s="276">
        <v>0</v>
      </c>
      <c r="BC277" s="279">
        <v>0</v>
      </c>
      <c r="BD277" s="276">
        <v>0</v>
      </c>
      <c r="BE277" s="276">
        <v>0</v>
      </c>
      <c r="BF277" s="279">
        <v>0</v>
      </c>
      <c r="BG277" s="276">
        <v>0</v>
      </c>
      <c r="BH277" s="276">
        <v>0</v>
      </c>
      <c r="BI277" s="278" t="s">
        <v>550</v>
      </c>
      <c r="BJ277" s="276">
        <v>0</v>
      </c>
      <c r="BK277" s="276">
        <v>0</v>
      </c>
      <c r="BL277" s="276">
        <v>0</v>
      </c>
      <c r="BM277" s="276">
        <v>0</v>
      </c>
      <c r="BN277" s="276">
        <v>0</v>
      </c>
      <c r="BO277" s="276">
        <v>0</v>
      </c>
      <c r="BP277" s="276">
        <v>0</v>
      </c>
    </row>
    <row r="278" spans="1:68" x14ac:dyDescent="0.35">
      <c r="A278" s="277" t="s">
        <v>563</v>
      </c>
      <c r="B278" s="277" t="s">
        <v>562</v>
      </c>
      <c r="C278" s="283" t="s">
        <v>449</v>
      </c>
      <c r="D278" s="277" t="s">
        <v>560</v>
      </c>
      <c r="F278" s="277" t="s">
        <v>632</v>
      </c>
      <c r="K278" s="277" t="s">
        <v>555</v>
      </c>
      <c r="L278" s="277" t="s">
        <v>557</v>
      </c>
      <c r="N278" s="277" t="s">
        <v>558</v>
      </c>
      <c r="O278" s="277" t="s">
        <v>555</v>
      </c>
      <c r="P278" s="277" t="s">
        <v>557</v>
      </c>
      <c r="Q278" s="277" t="s">
        <v>556</v>
      </c>
      <c r="R278" s="277" t="s">
        <v>555</v>
      </c>
      <c r="S278" s="276">
        <v>0</v>
      </c>
      <c r="T278" s="276">
        <v>0</v>
      </c>
      <c r="U278" s="276">
        <v>0</v>
      </c>
      <c r="V278" s="276">
        <v>0</v>
      </c>
      <c r="W278" s="276">
        <v>0</v>
      </c>
      <c r="X278" s="276">
        <v>0</v>
      </c>
      <c r="Y278" s="276">
        <v>0</v>
      </c>
      <c r="Z278" s="276">
        <v>0</v>
      </c>
      <c r="AA278" s="276">
        <v>0</v>
      </c>
      <c r="AB278" s="276">
        <v>0</v>
      </c>
      <c r="AC278" s="276"/>
      <c r="AD278" s="276">
        <v>0</v>
      </c>
      <c r="AE278" s="276"/>
      <c r="AF278" s="276">
        <v>0</v>
      </c>
      <c r="AG278" s="276">
        <v>0</v>
      </c>
      <c r="AH278" s="283" t="s">
        <v>483</v>
      </c>
      <c r="AJ278" s="281" t="s">
        <v>553</v>
      </c>
      <c r="AK278" s="280" t="s">
        <v>552</v>
      </c>
      <c r="AL278" s="276">
        <v>1.35</v>
      </c>
      <c r="AM278" s="279">
        <v>0</v>
      </c>
      <c r="AN278" s="276">
        <v>0</v>
      </c>
      <c r="AO278" s="276">
        <v>1.35</v>
      </c>
      <c r="AP278" s="279">
        <v>0</v>
      </c>
      <c r="AQ278" s="276">
        <v>0</v>
      </c>
      <c r="AR278" s="276">
        <v>0</v>
      </c>
      <c r="AS278" s="271">
        <v>2</v>
      </c>
      <c r="AT278" s="276">
        <v>0</v>
      </c>
      <c r="AU278" s="279">
        <v>0</v>
      </c>
      <c r="AV278" s="276">
        <v>0</v>
      </c>
      <c r="AW278" s="276">
        <v>0</v>
      </c>
      <c r="AX278" s="279">
        <v>0</v>
      </c>
      <c r="AY278" s="276">
        <v>0</v>
      </c>
      <c r="AZ278" s="276">
        <v>0</v>
      </c>
      <c r="BA278" s="278" t="s">
        <v>551</v>
      </c>
      <c r="BB278" s="276">
        <v>0</v>
      </c>
      <c r="BC278" s="279">
        <v>0</v>
      </c>
      <c r="BD278" s="276">
        <v>0</v>
      </c>
      <c r="BE278" s="276">
        <v>0</v>
      </c>
      <c r="BF278" s="279">
        <v>0</v>
      </c>
      <c r="BG278" s="276">
        <v>0</v>
      </c>
      <c r="BH278" s="276">
        <v>0</v>
      </c>
      <c r="BI278" s="278" t="s">
        <v>550</v>
      </c>
      <c r="BJ278" s="276">
        <v>0</v>
      </c>
      <c r="BK278" s="276">
        <v>0</v>
      </c>
      <c r="BL278" s="276">
        <v>0</v>
      </c>
      <c r="BM278" s="276">
        <v>0</v>
      </c>
      <c r="BN278" s="276">
        <v>0</v>
      </c>
      <c r="BO278" s="276">
        <v>0</v>
      </c>
      <c r="BP278" s="276">
        <v>0</v>
      </c>
    </row>
    <row r="279" spans="1:68" x14ac:dyDescent="0.35">
      <c r="A279" s="277" t="s">
        <v>563</v>
      </c>
      <c r="B279" s="277" t="s">
        <v>562</v>
      </c>
      <c r="C279" s="283" t="s">
        <v>451</v>
      </c>
      <c r="D279" s="277" t="s">
        <v>560</v>
      </c>
      <c r="F279" s="277" t="s">
        <v>631</v>
      </c>
      <c r="K279" s="277" t="s">
        <v>555</v>
      </c>
      <c r="L279" s="277" t="s">
        <v>557</v>
      </c>
      <c r="N279" s="277" t="s">
        <v>558</v>
      </c>
      <c r="O279" s="277" t="s">
        <v>555</v>
      </c>
      <c r="P279" s="277" t="s">
        <v>557</v>
      </c>
      <c r="Q279" s="277" t="s">
        <v>556</v>
      </c>
      <c r="R279" s="277" t="s">
        <v>555</v>
      </c>
      <c r="S279" s="276">
        <v>0</v>
      </c>
      <c r="T279" s="276">
        <v>0</v>
      </c>
      <c r="U279" s="276">
        <v>0</v>
      </c>
      <c r="V279" s="276">
        <v>0</v>
      </c>
      <c r="W279" s="276">
        <v>0</v>
      </c>
      <c r="X279" s="276">
        <v>0</v>
      </c>
      <c r="Y279" s="276">
        <v>0</v>
      </c>
      <c r="Z279" s="276">
        <v>0</v>
      </c>
      <c r="AA279" s="276">
        <v>0</v>
      </c>
      <c r="AB279" s="276">
        <v>0</v>
      </c>
      <c r="AC279" s="276"/>
      <c r="AD279" s="276">
        <v>0</v>
      </c>
      <c r="AE279" s="276"/>
      <c r="AF279" s="276">
        <v>0</v>
      </c>
      <c r="AG279" s="276">
        <v>0</v>
      </c>
      <c r="AH279" s="283" t="s">
        <v>483</v>
      </c>
      <c r="AJ279" s="281" t="s">
        <v>553</v>
      </c>
      <c r="AK279" s="280" t="s">
        <v>552</v>
      </c>
      <c r="AL279" s="276">
        <v>0.75</v>
      </c>
      <c r="AM279" s="279">
        <v>0</v>
      </c>
      <c r="AN279" s="276">
        <v>0</v>
      </c>
      <c r="AO279" s="276">
        <v>0.75</v>
      </c>
      <c r="AP279" s="279">
        <v>0</v>
      </c>
      <c r="AQ279" s="276">
        <v>0</v>
      </c>
      <c r="AR279" s="276">
        <v>0</v>
      </c>
      <c r="AS279" s="271">
        <v>2</v>
      </c>
      <c r="AT279" s="276">
        <v>0</v>
      </c>
      <c r="AU279" s="279">
        <v>0</v>
      </c>
      <c r="AV279" s="276">
        <v>0</v>
      </c>
      <c r="AW279" s="276">
        <v>0</v>
      </c>
      <c r="AX279" s="279">
        <v>0</v>
      </c>
      <c r="AY279" s="276">
        <v>0</v>
      </c>
      <c r="AZ279" s="276">
        <v>0</v>
      </c>
      <c r="BA279" s="278" t="s">
        <v>551</v>
      </c>
      <c r="BB279" s="276">
        <v>0</v>
      </c>
      <c r="BC279" s="279">
        <v>0</v>
      </c>
      <c r="BD279" s="276">
        <v>0</v>
      </c>
      <c r="BE279" s="276">
        <v>0</v>
      </c>
      <c r="BF279" s="279">
        <v>0</v>
      </c>
      <c r="BG279" s="276">
        <v>0</v>
      </c>
      <c r="BH279" s="276">
        <v>0</v>
      </c>
      <c r="BI279" s="278" t="s">
        <v>550</v>
      </c>
      <c r="BJ279" s="276">
        <v>0</v>
      </c>
      <c r="BK279" s="276">
        <v>0</v>
      </c>
      <c r="BL279" s="276">
        <v>0</v>
      </c>
      <c r="BM279" s="276">
        <v>0</v>
      </c>
      <c r="BN279" s="276">
        <v>0</v>
      </c>
      <c r="BO279" s="276">
        <v>0</v>
      </c>
      <c r="BP279" s="276">
        <v>0</v>
      </c>
    </row>
    <row r="280" spans="1:68" x14ac:dyDescent="0.35">
      <c r="A280" s="277" t="s">
        <v>563</v>
      </c>
      <c r="B280" s="277" t="s">
        <v>562</v>
      </c>
      <c r="C280" s="283" t="s">
        <v>630</v>
      </c>
      <c r="D280" s="277" t="s">
        <v>560</v>
      </c>
      <c r="F280" s="277" t="s">
        <v>629</v>
      </c>
      <c r="G280" s="277" t="s">
        <v>628</v>
      </c>
      <c r="H280" s="277" t="s">
        <v>144</v>
      </c>
      <c r="K280" s="277" t="s">
        <v>555</v>
      </c>
      <c r="L280" s="277" t="s">
        <v>557</v>
      </c>
      <c r="N280" s="277" t="s">
        <v>558</v>
      </c>
      <c r="O280" s="277" t="s">
        <v>555</v>
      </c>
      <c r="P280" s="277" t="s">
        <v>557</v>
      </c>
      <c r="Q280" s="277" t="s">
        <v>556</v>
      </c>
      <c r="R280" s="277" t="s">
        <v>555</v>
      </c>
      <c r="S280" s="276">
        <v>0</v>
      </c>
      <c r="T280" s="276">
        <v>0</v>
      </c>
      <c r="U280" s="276">
        <v>0</v>
      </c>
      <c r="V280" s="276">
        <v>0</v>
      </c>
      <c r="W280" s="276">
        <v>0</v>
      </c>
      <c r="X280" s="276">
        <v>0</v>
      </c>
      <c r="Y280" s="276">
        <v>0</v>
      </c>
      <c r="Z280" s="276">
        <v>0</v>
      </c>
      <c r="AA280" s="276">
        <v>0</v>
      </c>
      <c r="AB280" s="276">
        <v>0</v>
      </c>
      <c r="AC280" s="276"/>
      <c r="AD280" s="276">
        <v>0</v>
      </c>
      <c r="AE280" s="276"/>
      <c r="AF280" s="276">
        <v>0</v>
      </c>
      <c r="AG280" s="276">
        <v>0</v>
      </c>
      <c r="AH280" s="283" t="s">
        <v>86</v>
      </c>
      <c r="AI280" s="282" t="s">
        <v>627</v>
      </c>
      <c r="AJ280" s="281" t="s">
        <v>553</v>
      </c>
      <c r="AK280" s="280" t="s">
        <v>552</v>
      </c>
      <c r="AL280" s="276">
        <v>0.87</v>
      </c>
      <c r="AM280" s="279">
        <v>50</v>
      </c>
      <c r="AN280" s="276">
        <v>0</v>
      </c>
      <c r="AO280" s="276">
        <v>0.87</v>
      </c>
      <c r="AP280" s="279">
        <v>50</v>
      </c>
      <c r="AQ280" s="276">
        <v>0</v>
      </c>
      <c r="AR280" s="276">
        <v>0</v>
      </c>
      <c r="AS280" s="271">
        <v>2</v>
      </c>
      <c r="AT280" s="276">
        <v>1.0751999999999999</v>
      </c>
      <c r="AU280" s="279">
        <v>300</v>
      </c>
      <c r="AV280" s="276">
        <v>0</v>
      </c>
      <c r="AW280" s="276">
        <v>1.0751999999999999</v>
      </c>
      <c r="AX280" s="279">
        <v>300</v>
      </c>
      <c r="AY280" s="276">
        <v>0</v>
      </c>
      <c r="AZ280" s="276">
        <v>0</v>
      </c>
      <c r="BA280" s="278" t="s">
        <v>551</v>
      </c>
      <c r="BB280" s="276">
        <v>1.2653000000000001</v>
      </c>
      <c r="BC280" s="279">
        <v>250</v>
      </c>
      <c r="BD280" s="276">
        <v>0</v>
      </c>
      <c r="BE280" s="276">
        <v>1.2653000000000001</v>
      </c>
      <c r="BF280" s="279">
        <v>250</v>
      </c>
      <c r="BG280" s="276">
        <v>0</v>
      </c>
      <c r="BH280" s="276">
        <v>0</v>
      </c>
      <c r="BI280" s="278" t="s">
        <v>550</v>
      </c>
      <c r="BJ280" s="276">
        <v>1.55</v>
      </c>
      <c r="BK280" s="276">
        <v>0</v>
      </c>
      <c r="BL280" s="276">
        <v>0</v>
      </c>
      <c r="BM280" s="276">
        <v>1.55</v>
      </c>
      <c r="BN280" s="276">
        <v>0</v>
      </c>
      <c r="BO280" s="276">
        <v>0</v>
      </c>
      <c r="BP280" s="276">
        <v>0</v>
      </c>
    </row>
    <row r="281" spans="1:68" x14ac:dyDescent="0.35">
      <c r="A281" s="277" t="s">
        <v>563</v>
      </c>
      <c r="B281" s="277" t="s">
        <v>562</v>
      </c>
      <c r="C281" s="283" t="s">
        <v>627</v>
      </c>
      <c r="D281" s="277" t="s">
        <v>560</v>
      </c>
      <c r="F281" s="277" t="s">
        <v>626</v>
      </c>
      <c r="H281" s="277" t="s">
        <v>144</v>
      </c>
      <c r="K281" s="277" t="s">
        <v>555</v>
      </c>
      <c r="L281" s="277" t="s">
        <v>557</v>
      </c>
      <c r="N281" s="277" t="s">
        <v>558</v>
      </c>
      <c r="O281" s="277" t="s">
        <v>555</v>
      </c>
      <c r="P281" s="277" t="s">
        <v>557</v>
      </c>
      <c r="Q281" s="277" t="s">
        <v>556</v>
      </c>
      <c r="R281" s="277" t="s">
        <v>555</v>
      </c>
      <c r="S281" s="276">
        <v>0</v>
      </c>
      <c r="T281" s="276">
        <v>0</v>
      </c>
      <c r="U281" s="276">
        <v>0</v>
      </c>
      <c r="V281" s="276">
        <v>0</v>
      </c>
      <c r="W281" s="276">
        <v>0</v>
      </c>
      <c r="X281" s="276">
        <v>0</v>
      </c>
      <c r="Y281" s="276">
        <v>0</v>
      </c>
      <c r="Z281" s="276">
        <v>0</v>
      </c>
      <c r="AA281" s="276">
        <v>0</v>
      </c>
      <c r="AB281" s="276">
        <v>0</v>
      </c>
      <c r="AC281" s="276"/>
      <c r="AD281" s="276">
        <v>0</v>
      </c>
      <c r="AE281" s="276"/>
      <c r="AF281" s="276">
        <v>0</v>
      </c>
      <c r="AG281" s="276">
        <v>0</v>
      </c>
      <c r="AH281" s="283" t="s">
        <v>483</v>
      </c>
      <c r="AJ281" s="281" t="s">
        <v>553</v>
      </c>
      <c r="AK281" s="280" t="s">
        <v>552</v>
      </c>
      <c r="AL281" s="276">
        <v>0.87</v>
      </c>
      <c r="AM281" s="279">
        <v>50</v>
      </c>
      <c r="AN281" s="276">
        <v>0</v>
      </c>
      <c r="AO281" s="276">
        <v>0.87</v>
      </c>
      <c r="AP281" s="279">
        <v>50</v>
      </c>
      <c r="AQ281" s="276">
        <v>0</v>
      </c>
      <c r="AR281" s="276">
        <v>0</v>
      </c>
      <c r="AS281" s="271">
        <v>2</v>
      </c>
      <c r="AT281" s="276">
        <v>1.06</v>
      </c>
      <c r="AU281" s="279">
        <v>300</v>
      </c>
      <c r="AV281" s="276">
        <v>0</v>
      </c>
      <c r="AW281" s="276">
        <v>1.06</v>
      </c>
      <c r="AX281" s="279">
        <v>300</v>
      </c>
      <c r="AY281" s="276">
        <v>0</v>
      </c>
      <c r="AZ281" s="276">
        <v>0</v>
      </c>
      <c r="BA281" s="278" t="s">
        <v>551</v>
      </c>
      <c r="BB281" s="276">
        <v>1.24</v>
      </c>
      <c r="BC281" s="279">
        <v>250</v>
      </c>
      <c r="BD281" s="276">
        <v>0</v>
      </c>
      <c r="BE281" s="276">
        <v>1.24</v>
      </c>
      <c r="BF281" s="279">
        <v>250</v>
      </c>
      <c r="BG281" s="276">
        <v>0</v>
      </c>
      <c r="BH281" s="276">
        <v>0</v>
      </c>
      <c r="BI281" s="278" t="s">
        <v>550</v>
      </c>
      <c r="BJ281" s="276">
        <v>1.45</v>
      </c>
      <c r="BK281" s="276">
        <v>0</v>
      </c>
      <c r="BL281" s="276">
        <v>0</v>
      </c>
      <c r="BM281" s="276">
        <v>1.45</v>
      </c>
      <c r="BN281" s="276">
        <v>0</v>
      </c>
      <c r="BO281" s="276">
        <v>0</v>
      </c>
      <c r="BP281" s="276">
        <v>0</v>
      </c>
    </row>
    <row r="282" spans="1:68" x14ac:dyDescent="0.35">
      <c r="A282" s="277" t="s">
        <v>563</v>
      </c>
      <c r="B282" s="277" t="s">
        <v>562</v>
      </c>
      <c r="C282" s="283" t="s">
        <v>611</v>
      </c>
      <c r="D282" s="277" t="s">
        <v>560</v>
      </c>
      <c r="F282" s="277" t="s">
        <v>625</v>
      </c>
      <c r="K282" s="277" t="s">
        <v>555</v>
      </c>
      <c r="L282" s="277" t="s">
        <v>557</v>
      </c>
      <c r="N282" s="277" t="s">
        <v>558</v>
      </c>
      <c r="O282" s="277" t="s">
        <v>555</v>
      </c>
      <c r="P282" s="277" t="s">
        <v>557</v>
      </c>
      <c r="Q282" s="277" t="s">
        <v>556</v>
      </c>
      <c r="R282" s="277" t="s">
        <v>555</v>
      </c>
      <c r="S282" s="276">
        <v>0</v>
      </c>
      <c r="T282" s="276">
        <v>0</v>
      </c>
      <c r="U282" s="276">
        <v>0</v>
      </c>
      <c r="V282" s="276">
        <v>0</v>
      </c>
      <c r="W282" s="276">
        <v>0</v>
      </c>
      <c r="X282" s="276">
        <v>0</v>
      </c>
      <c r="Y282" s="276">
        <v>0</v>
      </c>
      <c r="Z282" s="276">
        <v>0</v>
      </c>
      <c r="AA282" s="276">
        <v>0</v>
      </c>
      <c r="AB282" s="276">
        <v>0</v>
      </c>
      <c r="AC282" s="276"/>
      <c r="AD282" s="276">
        <v>0</v>
      </c>
      <c r="AE282" s="276"/>
      <c r="AF282" s="276">
        <v>0</v>
      </c>
      <c r="AG282" s="276">
        <v>0</v>
      </c>
      <c r="AH282" s="283" t="s">
        <v>483</v>
      </c>
      <c r="AJ282" s="281" t="s">
        <v>553</v>
      </c>
      <c r="AK282" s="280" t="s">
        <v>552</v>
      </c>
      <c r="AL282" s="276">
        <v>0.68</v>
      </c>
      <c r="AM282" s="279">
        <v>0</v>
      </c>
      <c r="AN282" s="276">
        <v>0</v>
      </c>
      <c r="AO282" s="276">
        <v>0.68</v>
      </c>
      <c r="AP282" s="279">
        <v>0</v>
      </c>
      <c r="AQ282" s="276">
        <v>0</v>
      </c>
      <c r="AR282" s="276">
        <v>0</v>
      </c>
      <c r="AS282" s="271">
        <v>2</v>
      </c>
      <c r="AT282" s="276">
        <v>0</v>
      </c>
      <c r="AU282" s="279">
        <v>0</v>
      </c>
      <c r="AV282" s="276">
        <v>0</v>
      </c>
      <c r="AW282" s="276">
        <v>0</v>
      </c>
      <c r="AX282" s="279">
        <v>0</v>
      </c>
      <c r="AY282" s="276">
        <v>0</v>
      </c>
      <c r="AZ282" s="276">
        <v>0</v>
      </c>
      <c r="BA282" s="278" t="s">
        <v>551</v>
      </c>
      <c r="BB282" s="276">
        <v>0</v>
      </c>
      <c r="BC282" s="279">
        <v>0</v>
      </c>
      <c r="BD282" s="276">
        <v>0</v>
      </c>
      <c r="BE282" s="276">
        <v>0</v>
      </c>
      <c r="BF282" s="279">
        <v>0</v>
      </c>
      <c r="BG282" s="276">
        <v>0</v>
      </c>
      <c r="BH282" s="276">
        <v>0</v>
      </c>
      <c r="BI282" s="278" t="s">
        <v>550</v>
      </c>
      <c r="BJ282" s="276">
        <v>0</v>
      </c>
      <c r="BK282" s="276">
        <v>0</v>
      </c>
      <c r="BL282" s="276">
        <v>0</v>
      </c>
      <c r="BM282" s="276">
        <v>0</v>
      </c>
      <c r="BN282" s="276">
        <v>0</v>
      </c>
      <c r="BO282" s="276">
        <v>0</v>
      </c>
      <c r="BP282" s="276">
        <v>0</v>
      </c>
    </row>
    <row r="283" spans="1:68" x14ac:dyDescent="0.35">
      <c r="A283" s="277" t="s">
        <v>563</v>
      </c>
      <c r="B283" s="277" t="s">
        <v>562</v>
      </c>
      <c r="C283" s="283" t="s">
        <v>624</v>
      </c>
      <c r="D283" s="277" t="s">
        <v>560</v>
      </c>
      <c r="F283" s="277" t="s">
        <v>623</v>
      </c>
      <c r="K283" s="277" t="s">
        <v>555</v>
      </c>
      <c r="L283" s="277" t="s">
        <v>557</v>
      </c>
      <c r="N283" s="277" t="s">
        <v>558</v>
      </c>
      <c r="O283" s="277" t="s">
        <v>555</v>
      </c>
      <c r="P283" s="277" t="s">
        <v>557</v>
      </c>
      <c r="Q283" s="277" t="s">
        <v>556</v>
      </c>
      <c r="R283" s="277" t="s">
        <v>555</v>
      </c>
      <c r="S283" s="276">
        <v>0</v>
      </c>
      <c r="T283" s="276">
        <v>0</v>
      </c>
      <c r="U283" s="276">
        <v>0</v>
      </c>
      <c r="V283" s="276">
        <v>0</v>
      </c>
      <c r="W283" s="276">
        <v>0</v>
      </c>
      <c r="X283" s="276">
        <v>0</v>
      </c>
      <c r="Y283" s="276">
        <v>0</v>
      </c>
      <c r="Z283" s="276">
        <v>0</v>
      </c>
      <c r="AA283" s="276">
        <v>0</v>
      </c>
      <c r="AB283" s="276">
        <v>0</v>
      </c>
      <c r="AC283" s="276"/>
      <c r="AD283" s="276">
        <v>0</v>
      </c>
      <c r="AE283" s="276"/>
      <c r="AF283" s="276">
        <v>0</v>
      </c>
      <c r="AG283" s="276">
        <v>0</v>
      </c>
      <c r="AH283" s="283" t="s">
        <v>86</v>
      </c>
      <c r="AI283" s="282" t="s">
        <v>584</v>
      </c>
      <c r="AJ283" s="281" t="s">
        <v>553</v>
      </c>
      <c r="AK283" s="280" t="s">
        <v>552</v>
      </c>
      <c r="AL283" s="276">
        <v>2.2200000000000002</v>
      </c>
      <c r="AM283" s="279">
        <v>0</v>
      </c>
      <c r="AN283" s="276">
        <v>0</v>
      </c>
      <c r="AO283" s="276">
        <v>2.2200000000000002</v>
      </c>
      <c r="AP283" s="279">
        <v>0</v>
      </c>
      <c r="AQ283" s="276">
        <v>0</v>
      </c>
      <c r="AR283" s="276">
        <v>0</v>
      </c>
      <c r="AS283" s="271">
        <v>2</v>
      </c>
      <c r="AT283" s="276">
        <v>0</v>
      </c>
      <c r="AU283" s="279">
        <v>0</v>
      </c>
      <c r="AV283" s="276">
        <v>0</v>
      </c>
      <c r="AW283" s="276">
        <v>0</v>
      </c>
      <c r="AX283" s="279">
        <v>0</v>
      </c>
      <c r="AY283" s="276">
        <v>0</v>
      </c>
      <c r="AZ283" s="276">
        <v>0</v>
      </c>
      <c r="BA283" s="278" t="s">
        <v>551</v>
      </c>
      <c r="BB283" s="276">
        <v>0</v>
      </c>
      <c r="BC283" s="279">
        <v>0</v>
      </c>
      <c r="BD283" s="276">
        <v>0</v>
      </c>
      <c r="BE283" s="276">
        <v>0</v>
      </c>
      <c r="BF283" s="279">
        <v>0</v>
      </c>
      <c r="BG283" s="276">
        <v>0</v>
      </c>
      <c r="BH283" s="276">
        <v>0</v>
      </c>
      <c r="BI283" s="278" t="s">
        <v>550</v>
      </c>
      <c r="BJ283" s="276">
        <v>0</v>
      </c>
      <c r="BK283" s="276">
        <v>0</v>
      </c>
      <c r="BL283" s="276">
        <v>0</v>
      </c>
      <c r="BM283" s="276">
        <v>0</v>
      </c>
      <c r="BN283" s="276">
        <v>0</v>
      </c>
      <c r="BO283" s="276">
        <v>0</v>
      </c>
      <c r="BP283" s="276">
        <v>0</v>
      </c>
    </row>
    <row r="284" spans="1:68" x14ac:dyDescent="0.35">
      <c r="A284" s="277" t="s">
        <v>563</v>
      </c>
      <c r="B284" s="277" t="s">
        <v>562</v>
      </c>
      <c r="C284" s="283" t="s">
        <v>622</v>
      </c>
      <c r="D284" s="277" t="s">
        <v>560</v>
      </c>
      <c r="F284" s="277" t="s">
        <v>621</v>
      </c>
      <c r="K284" s="277" t="s">
        <v>555</v>
      </c>
      <c r="L284" s="277" t="s">
        <v>557</v>
      </c>
      <c r="N284" s="277" t="s">
        <v>558</v>
      </c>
      <c r="O284" s="277" t="s">
        <v>555</v>
      </c>
      <c r="P284" s="277" t="s">
        <v>557</v>
      </c>
      <c r="Q284" s="277" t="s">
        <v>556</v>
      </c>
      <c r="R284" s="277" t="s">
        <v>555</v>
      </c>
      <c r="S284" s="276">
        <v>0</v>
      </c>
      <c r="T284" s="276">
        <v>0</v>
      </c>
      <c r="U284" s="276">
        <v>0</v>
      </c>
      <c r="V284" s="276">
        <v>0</v>
      </c>
      <c r="W284" s="276">
        <v>0</v>
      </c>
      <c r="X284" s="276">
        <v>0</v>
      </c>
      <c r="Y284" s="276">
        <v>0</v>
      </c>
      <c r="Z284" s="276">
        <v>0</v>
      </c>
      <c r="AA284" s="276">
        <v>0</v>
      </c>
      <c r="AB284" s="276">
        <v>0</v>
      </c>
      <c r="AC284" s="276"/>
      <c r="AD284" s="276">
        <v>0</v>
      </c>
      <c r="AE284" s="276"/>
      <c r="AF284" s="276">
        <v>0</v>
      </c>
      <c r="AG284" s="276">
        <v>0</v>
      </c>
      <c r="AH284" s="283" t="s">
        <v>483</v>
      </c>
      <c r="AJ284" s="281" t="s">
        <v>553</v>
      </c>
      <c r="AK284" s="280" t="s">
        <v>552</v>
      </c>
      <c r="AL284" s="276">
        <v>0</v>
      </c>
      <c r="AM284" s="279">
        <v>0</v>
      </c>
      <c r="AN284" s="276">
        <v>92.27</v>
      </c>
      <c r="AO284" s="276">
        <v>0</v>
      </c>
      <c r="AP284" s="279">
        <v>0</v>
      </c>
      <c r="AQ284" s="276">
        <v>0</v>
      </c>
      <c r="AR284" s="276">
        <v>0</v>
      </c>
      <c r="AS284" s="271">
        <v>2</v>
      </c>
      <c r="AT284" s="276">
        <v>0</v>
      </c>
      <c r="AU284" s="279">
        <v>0</v>
      </c>
      <c r="AV284" s="276">
        <v>0</v>
      </c>
      <c r="AW284" s="276">
        <v>0</v>
      </c>
      <c r="AX284" s="279">
        <v>0</v>
      </c>
      <c r="AY284" s="276">
        <v>0</v>
      </c>
      <c r="AZ284" s="276">
        <v>0</v>
      </c>
      <c r="BA284" s="278" t="s">
        <v>551</v>
      </c>
      <c r="BB284" s="276">
        <v>0</v>
      </c>
      <c r="BC284" s="279">
        <v>0</v>
      </c>
      <c r="BD284" s="276">
        <v>0</v>
      </c>
      <c r="BE284" s="276">
        <v>0</v>
      </c>
      <c r="BF284" s="279">
        <v>0</v>
      </c>
      <c r="BG284" s="276">
        <v>0</v>
      </c>
      <c r="BH284" s="276">
        <v>0</v>
      </c>
      <c r="BI284" s="278" t="s">
        <v>550</v>
      </c>
      <c r="BJ284" s="276">
        <v>0</v>
      </c>
      <c r="BK284" s="276">
        <v>0</v>
      </c>
      <c r="BL284" s="276">
        <v>0</v>
      </c>
      <c r="BM284" s="276">
        <v>0</v>
      </c>
      <c r="BN284" s="276">
        <v>0</v>
      </c>
      <c r="BO284" s="276">
        <v>0</v>
      </c>
      <c r="BP284" s="276">
        <v>0</v>
      </c>
    </row>
    <row r="285" spans="1:68" x14ac:dyDescent="0.35">
      <c r="A285" s="277" t="s">
        <v>563</v>
      </c>
      <c r="B285" s="277" t="s">
        <v>562</v>
      </c>
      <c r="C285" s="283" t="s">
        <v>620</v>
      </c>
      <c r="D285" s="277" t="s">
        <v>560</v>
      </c>
      <c r="F285" s="277" t="s">
        <v>619</v>
      </c>
      <c r="K285" s="277" t="s">
        <v>555</v>
      </c>
      <c r="L285" s="277" t="s">
        <v>557</v>
      </c>
      <c r="N285" s="277" t="s">
        <v>558</v>
      </c>
      <c r="O285" s="277" t="s">
        <v>555</v>
      </c>
      <c r="P285" s="277" t="s">
        <v>557</v>
      </c>
      <c r="Q285" s="277" t="s">
        <v>556</v>
      </c>
      <c r="R285" s="277" t="s">
        <v>555</v>
      </c>
      <c r="S285" s="276">
        <v>2150</v>
      </c>
      <c r="T285" s="276">
        <v>0</v>
      </c>
      <c r="U285" s="276">
        <v>0</v>
      </c>
      <c r="V285" s="276">
        <v>0</v>
      </c>
      <c r="W285" s="276">
        <v>0</v>
      </c>
      <c r="X285" s="276">
        <v>0</v>
      </c>
      <c r="Y285" s="276">
        <v>0</v>
      </c>
      <c r="Z285" s="276">
        <v>0</v>
      </c>
      <c r="AA285" s="276">
        <v>0</v>
      </c>
      <c r="AB285" s="276">
        <v>0</v>
      </c>
      <c r="AC285" s="276"/>
      <c r="AD285" s="276">
        <v>0</v>
      </c>
      <c r="AE285" s="276"/>
      <c r="AF285" s="276">
        <v>0</v>
      </c>
      <c r="AG285" s="276">
        <v>0</v>
      </c>
      <c r="AH285" s="283" t="s">
        <v>483</v>
      </c>
      <c r="AJ285" s="281" t="s">
        <v>553</v>
      </c>
      <c r="AK285" s="280" t="s">
        <v>552</v>
      </c>
      <c r="AL285" s="276">
        <v>0</v>
      </c>
      <c r="AM285" s="279">
        <v>0</v>
      </c>
      <c r="AN285" s="276">
        <v>33.200000000000003</v>
      </c>
      <c r="AO285" s="276">
        <v>0</v>
      </c>
      <c r="AP285" s="279">
        <v>0</v>
      </c>
      <c r="AQ285" s="276">
        <v>0</v>
      </c>
      <c r="AR285" s="276">
        <v>0</v>
      </c>
      <c r="AS285" s="271">
        <v>2</v>
      </c>
      <c r="AT285" s="276">
        <v>0</v>
      </c>
      <c r="AU285" s="279">
        <v>0</v>
      </c>
      <c r="AV285" s="276">
        <v>0</v>
      </c>
      <c r="AW285" s="276">
        <v>0</v>
      </c>
      <c r="AX285" s="279">
        <v>0</v>
      </c>
      <c r="AY285" s="276">
        <v>0</v>
      </c>
      <c r="AZ285" s="276">
        <v>0</v>
      </c>
      <c r="BA285" s="278" t="s">
        <v>551</v>
      </c>
      <c r="BB285" s="276">
        <v>0</v>
      </c>
      <c r="BC285" s="279">
        <v>0</v>
      </c>
      <c r="BD285" s="276">
        <v>0</v>
      </c>
      <c r="BE285" s="276">
        <v>0</v>
      </c>
      <c r="BF285" s="279">
        <v>0</v>
      </c>
      <c r="BG285" s="276">
        <v>0</v>
      </c>
      <c r="BH285" s="276">
        <v>0</v>
      </c>
      <c r="BI285" s="278" t="s">
        <v>550</v>
      </c>
      <c r="BJ285" s="276">
        <v>0</v>
      </c>
      <c r="BK285" s="276">
        <v>0</v>
      </c>
      <c r="BL285" s="276">
        <v>0</v>
      </c>
      <c r="BM285" s="276">
        <v>0</v>
      </c>
      <c r="BN285" s="276">
        <v>0</v>
      </c>
      <c r="BO285" s="276">
        <v>0</v>
      </c>
      <c r="BP285" s="276">
        <v>0</v>
      </c>
    </row>
    <row r="286" spans="1:68" x14ac:dyDescent="0.35">
      <c r="A286" s="277" t="s">
        <v>563</v>
      </c>
      <c r="B286" s="277" t="s">
        <v>562</v>
      </c>
      <c r="C286" s="283" t="s">
        <v>588</v>
      </c>
      <c r="D286" s="277" t="s">
        <v>560</v>
      </c>
      <c r="F286" s="277" t="s">
        <v>618</v>
      </c>
      <c r="K286" s="277" t="s">
        <v>555</v>
      </c>
      <c r="L286" s="277" t="s">
        <v>557</v>
      </c>
      <c r="N286" s="277" t="s">
        <v>558</v>
      </c>
      <c r="O286" s="277" t="s">
        <v>555</v>
      </c>
      <c r="P286" s="277" t="s">
        <v>557</v>
      </c>
      <c r="Q286" s="277" t="s">
        <v>556</v>
      </c>
      <c r="R286" s="277" t="s">
        <v>555</v>
      </c>
      <c r="S286" s="276">
        <v>0</v>
      </c>
      <c r="T286" s="276">
        <v>0</v>
      </c>
      <c r="U286" s="276">
        <v>0</v>
      </c>
      <c r="V286" s="276">
        <v>0</v>
      </c>
      <c r="W286" s="276">
        <v>0</v>
      </c>
      <c r="X286" s="276">
        <v>0</v>
      </c>
      <c r="Y286" s="276">
        <v>0</v>
      </c>
      <c r="Z286" s="276">
        <v>0</v>
      </c>
      <c r="AA286" s="276">
        <v>0</v>
      </c>
      <c r="AB286" s="276">
        <v>0</v>
      </c>
      <c r="AC286" s="276"/>
      <c r="AD286" s="276">
        <v>0</v>
      </c>
      <c r="AE286" s="276"/>
      <c r="AF286" s="276">
        <v>0</v>
      </c>
      <c r="AG286" s="276">
        <v>0</v>
      </c>
      <c r="AH286" s="283" t="s">
        <v>483</v>
      </c>
      <c r="AJ286" s="281" t="s">
        <v>553</v>
      </c>
      <c r="AK286" s="280" t="s">
        <v>552</v>
      </c>
      <c r="AL286" s="276">
        <v>0.54</v>
      </c>
      <c r="AM286" s="279">
        <v>0</v>
      </c>
      <c r="AN286" s="276">
        <v>0</v>
      </c>
      <c r="AO286" s="276">
        <v>0.54</v>
      </c>
      <c r="AP286" s="279">
        <v>0</v>
      </c>
      <c r="AQ286" s="276">
        <v>0</v>
      </c>
      <c r="AR286" s="276">
        <v>0</v>
      </c>
      <c r="AS286" s="271">
        <v>2</v>
      </c>
      <c r="AT286" s="276">
        <v>0</v>
      </c>
      <c r="AU286" s="279">
        <v>0</v>
      </c>
      <c r="AV286" s="276">
        <v>0</v>
      </c>
      <c r="AW286" s="276">
        <v>0</v>
      </c>
      <c r="AX286" s="279">
        <v>0</v>
      </c>
      <c r="AY286" s="276">
        <v>0</v>
      </c>
      <c r="AZ286" s="276">
        <v>0</v>
      </c>
      <c r="BA286" s="278" t="s">
        <v>551</v>
      </c>
      <c r="BB286" s="276">
        <v>0</v>
      </c>
      <c r="BC286" s="279">
        <v>0</v>
      </c>
      <c r="BD286" s="276">
        <v>0</v>
      </c>
      <c r="BE286" s="276">
        <v>0</v>
      </c>
      <c r="BF286" s="279">
        <v>0</v>
      </c>
      <c r="BG286" s="276">
        <v>0</v>
      </c>
      <c r="BH286" s="276">
        <v>0</v>
      </c>
      <c r="BI286" s="278" t="s">
        <v>550</v>
      </c>
      <c r="BJ286" s="276">
        <v>0</v>
      </c>
      <c r="BK286" s="276">
        <v>0</v>
      </c>
      <c r="BL286" s="276">
        <v>0</v>
      </c>
      <c r="BM286" s="276">
        <v>0</v>
      </c>
      <c r="BN286" s="276">
        <v>0</v>
      </c>
      <c r="BO286" s="276">
        <v>0</v>
      </c>
      <c r="BP286" s="276">
        <v>0</v>
      </c>
    </row>
    <row r="287" spans="1:68" x14ac:dyDescent="0.35">
      <c r="A287" s="277" t="s">
        <v>563</v>
      </c>
      <c r="B287" s="277" t="s">
        <v>562</v>
      </c>
      <c r="C287" s="283" t="s">
        <v>617</v>
      </c>
      <c r="D287" s="277" t="s">
        <v>560</v>
      </c>
      <c r="F287" s="277" t="s">
        <v>616</v>
      </c>
      <c r="K287" s="277" t="s">
        <v>555</v>
      </c>
      <c r="L287" s="277" t="s">
        <v>557</v>
      </c>
      <c r="N287" s="277" t="s">
        <v>558</v>
      </c>
      <c r="O287" s="277" t="s">
        <v>555</v>
      </c>
      <c r="P287" s="277" t="s">
        <v>557</v>
      </c>
      <c r="Q287" s="277" t="s">
        <v>556</v>
      </c>
      <c r="R287" s="277" t="s">
        <v>555</v>
      </c>
      <c r="S287" s="276">
        <v>1512</v>
      </c>
      <c r="T287" s="276">
        <v>0</v>
      </c>
      <c r="U287" s="276">
        <v>0</v>
      </c>
      <c r="V287" s="276">
        <v>0</v>
      </c>
      <c r="W287" s="276">
        <v>0</v>
      </c>
      <c r="X287" s="276">
        <v>0</v>
      </c>
      <c r="Y287" s="276">
        <v>0</v>
      </c>
      <c r="Z287" s="276">
        <v>0</v>
      </c>
      <c r="AA287" s="276">
        <v>0</v>
      </c>
      <c r="AB287" s="276">
        <v>0</v>
      </c>
      <c r="AC287" s="276"/>
      <c r="AD287" s="276">
        <v>0</v>
      </c>
      <c r="AE287" s="276"/>
      <c r="AF287" s="276">
        <v>0</v>
      </c>
      <c r="AG287" s="276">
        <v>0</v>
      </c>
      <c r="AH287" s="283" t="s">
        <v>483</v>
      </c>
      <c r="AJ287" s="281" t="s">
        <v>553</v>
      </c>
      <c r="AK287" s="280" t="s">
        <v>552</v>
      </c>
      <c r="AL287" s="276">
        <v>0</v>
      </c>
      <c r="AM287" s="279">
        <v>0</v>
      </c>
      <c r="AN287" s="276">
        <v>36</v>
      </c>
      <c r="AO287" s="276">
        <v>0</v>
      </c>
      <c r="AP287" s="279">
        <v>0</v>
      </c>
      <c r="AQ287" s="276">
        <v>0</v>
      </c>
      <c r="AR287" s="276">
        <v>0</v>
      </c>
      <c r="AS287" s="271">
        <v>2</v>
      </c>
      <c r="AT287" s="276">
        <v>0</v>
      </c>
      <c r="AU287" s="279">
        <v>0</v>
      </c>
      <c r="AV287" s="276">
        <v>0</v>
      </c>
      <c r="AW287" s="276">
        <v>0</v>
      </c>
      <c r="AX287" s="279">
        <v>0</v>
      </c>
      <c r="AY287" s="276">
        <v>0</v>
      </c>
      <c r="AZ287" s="276">
        <v>0</v>
      </c>
      <c r="BA287" s="278" t="s">
        <v>551</v>
      </c>
      <c r="BB287" s="276">
        <v>0</v>
      </c>
      <c r="BC287" s="279">
        <v>0</v>
      </c>
      <c r="BD287" s="276">
        <v>0</v>
      </c>
      <c r="BE287" s="276">
        <v>0</v>
      </c>
      <c r="BF287" s="279">
        <v>0</v>
      </c>
      <c r="BG287" s="276">
        <v>0</v>
      </c>
      <c r="BH287" s="276">
        <v>0</v>
      </c>
      <c r="BI287" s="278" t="s">
        <v>550</v>
      </c>
      <c r="BJ287" s="276">
        <v>0</v>
      </c>
      <c r="BK287" s="276">
        <v>0</v>
      </c>
      <c r="BL287" s="276">
        <v>0</v>
      </c>
      <c r="BM287" s="276">
        <v>0</v>
      </c>
      <c r="BN287" s="276">
        <v>0</v>
      </c>
      <c r="BO287" s="276">
        <v>0</v>
      </c>
      <c r="BP287" s="276">
        <v>0</v>
      </c>
    </row>
    <row r="288" spans="1:68" x14ac:dyDescent="0.35">
      <c r="A288" s="277" t="s">
        <v>563</v>
      </c>
      <c r="B288" s="277" t="s">
        <v>562</v>
      </c>
      <c r="C288" s="283" t="s">
        <v>615</v>
      </c>
      <c r="D288" s="277" t="s">
        <v>560</v>
      </c>
      <c r="F288" s="277" t="s">
        <v>614</v>
      </c>
      <c r="K288" s="277" t="s">
        <v>555</v>
      </c>
      <c r="L288" s="277" t="s">
        <v>557</v>
      </c>
      <c r="N288" s="277" t="s">
        <v>558</v>
      </c>
      <c r="O288" s="277" t="s">
        <v>555</v>
      </c>
      <c r="P288" s="277" t="s">
        <v>557</v>
      </c>
      <c r="Q288" s="277" t="s">
        <v>556</v>
      </c>
      <c r="R288" s="277" t="s">
        <v>555</v>
      </c>
      <c r="S288" s="276">
        <v>0</v>
      </c>
      <c r="T288" s="276">
        <v>0</v>
      </c>
      <c r="U288" s="276">
        <v>0</v>
      </c>
      <c r="V288" s="276">
        <v>0</v>
      </c>
      <c r="W288" s="276">
        <v>0</v>
      </c>
      <c r="X288" s="276">
        <v>0</v>
      </c>
      <c r="Y288" s="276">
        <v>0</v>
      </c>
      <c r="Z288" s="276">
        <v>0</v>
      </c>
      <c r="AA288" s="276">
        <v>0</v>
      </c>
      <c r="AB288" s="276">
        <v>0</v>
      </c>
      <c r="AC288" s="276"/>
      <c r="AD288" s="276">
        <v>0</v>
      </c>
      <c r="AE288" s="276"/>
      <c r="AF288" s="276">
        <v>0</v>
      </c>
      <c r="AG288" s="276">
        <v>0</v>
      </c>
      <c r="AH288" s="283" t="s">
        <v>86</v>
      </c>
      <c r="AI288" s="282" t="s">
        <v>609</v>
      </c>
      <c r="AJ288" s="281" t="s">
        <v>553</v>
      </c>
      <c r="AK288" s="280" t="s">
        <v>552</v>
      </c>
      <c r="AL288" s="276">
        <v>2.09</v>
      </c>
      <c r="AM288" s="279">
        <v>0</v>
      </c>
      <c r="AN288" s="276">
        <v>0</v>
      </c>
      <c r="AO288" s="276">
        <v>2.09</v>
      </c>
      <c r="AP288" s="279">
        <v>0</v>
      </c>
      <c r="AQ288" s="276">
        <v>0</v>
      </c>
      <c r="AR288" s="276">
        <v>0</v>
      </c>
      <c r="AS288" s="271">
        <v>2</v>
      </c>
      <c r="AT288" s="276">
        <v>0</v>
      </c>
      <c r="AU288" s="279">
        <v>0</v>
      </c>
      <c r="AV288" s="276">
        <v>0</v>
      </c>
      <c r="AW288" s="276">
        <v>0</v>
      </c>
      <c r="AX288" s="279">
        <v>0</v>
      </c>
      <c r="AY288" s="276">
        <v>0</v>
      </c>
      <c r="AZ288" s="276">
        <v>0</v>
      </c>
      <c r="BA288" s="278" t="s">
        <v>551</v>
      </c>
      <c r="BB288" s="276">
        <v>0</v>
      </c>
      <c r="BC288" s="279">
        <v>0</v>
      </c>
      <c r="BD288" s="276">
        <v>0</v>
      </c>
      <c r="BE288" s="276">
        <v>0</v>
      </c>
      <c r="BF288" s="279">
        <v>0</v>
      </c>
      <c r="BG288" s="276">
        <v>0</v>
      </c>
      <c r="BH288" s="276">
        <v>0</v>
      </c>
      <c r="BI288" s="278" t="s">
        <v>550</v>
      </c>
      <c r="BJ288" s="276">
        <v>0</v>
      </c>
      <c r="BK288" s="276">
        <v>0</v>
      </c>
      <c r="BL288" s="276">
        <v>0</v>
      </c>
      <c r="BM288" s="276">
        <v>0</v>
      </c>
      <c r="BN288" s="276">
        <v>0</v>
      </c>
      <c r="BO288" s="276">
        <v>0</v>
      </c>
      <c r="BP288" s="276">
        <v>0</v>
      </c>
    </row>
    <row r="289" spans="1:68" x14ac:dyDescent="0.35">
      <c r="A289" s="277" t="s">
        <v>563</v>
      </c>
      <c r="B289" s="277" t="s">
        <v>562</v>
      </c>
      <c r="C289" s="283" t="s">
        <v>613</v>
      </c>
      <c r="D289" s="277" t="s">
        <v>560</v>
      </c>
      <c r="F289" s="277" t="s">
        <v>612</v>
      </c>
      <c r="K289" s="277" t="s">
        <v>555</v>
      </c>
      <c r="L289" s="277" t="s">
        <v>557</v>
      </c>
      <c r="N289" s="277" t="s">
        <v>558</v>
      </c>
      <c r="O289" s="277" t="s">
        <v>555</v>
      </c>
      <c r="P289" s="277" t="s">
        <v>557</v>
      </c>
      <c r="Q289" s="277" t="s">
        <v>556</v>
      </c>
      <c r="R289" s="277" t="s">
        <v>555</v>
      </c>
      <c r="S289" s="276">
        <v>0</v>
      </c>
      <c r="T289" s="276">
        <v>0</v>
      </c>
      <c r="U289" s="276">
        <v>0</v>
      </c>
      <c r="V289" s="276">
        <v>0</v>
      </c>
      <c r="W289" s="276">
        <v>0</v>
      </c>
      <c r="X289" s="276">
        <v>0</v>
      </c>
      <c r="Y289" s="276">
        <v>0</v>
      </c>
      <c r="Z289" s="276">
        <v>0</v>
      </c>
      <c r="AA289" s="276">
        <v>0</v>
      </c>
      <c r="AB289" s="276">
        <v>0</v>
      </c>
      <c r="AC289" s="276"/>
      <c r="AD289" s="276">
        <v>0</v>
      </c>
      <c r="AE289" s="276"/>
      <c r="AF289" s="276">
        <v>0</v>
      </c>
      <c r="AG289" s="276">
        <v>0</v>
      </c>
      <c r="AH289" s="283" t="s">
        <v>86</v>
      </c>
      <c r="AI289" s="282" t="s">
        <v>611</v>
      </c>
      <c r="AJ289" s="281" t="s">
        <v>553</v>
      </c>
      <c r="AK289" s="280" t="s">
        <v>552</v>
      </c>
      <c r="AL289" s="276">
        <v>0.95</v>
      </c>
      <c r="AM289" s="279">
        <v>0</v>
      </c>
      <c r="AN289" s="276">
        <v>0</v>
      </c>
      <c r="AO289" s="276">
        <v>0.95</v>
      </c>
      <c r="AP289" s="279">
        <v>0</v>
      </c>
      <c r="AQ289" s="276">
        <v>0</v>
      </c>
      <c r="AR289" s="276">
        <v>0</v>
      </c>
      <c r="AS289" s="271">
        <v>2</v>
      </c>
      <c r="AT289" s="276">
        <v>0</v>
      </c>
      <c r="AU289" s="279">
        <v>0</v>
      </c>
      <c r="AV289" s="276">
        <v>0</v>
      </c>
      <c r="AW289" s="276">
        <v>0</v>
      </c>
      <c r="AX289" s="279">
        <v>0</v>
      </c>
      <c r="AY289" s="276">
        <v>0</v>
      </c>
      <c r="AZ289" s="276">
        <v>0</v>
      </c>
      <c r="BA289" s="278" t="s">
        <v>551</v>
      </c>
      <c r="BB289" s="276">
        <v>0</v>
      </c>
      <c r="BC289" s="279">
        <v>0</v>
      </c>
      <c r="BD289" s="276">
        <v>0</v>
      </c>
      <c r="BE289" s="276">
        <v>0</v>
      </c>
      <c r="BF289" s="279">
        <v>0</v>
      </c>
      <c r="BG289" s="276">
        <v>0</v>
      </c>
      <c r="BH289" s="276">
        <v>0</v>
      </c>
      <c r="BI289" s="278" t="s">
        <v>550</v>
      </c>
      <c r="BJ289" s="276">
        <v>0</v>
      </c>
      <c r="BK289" s="276">
        <v>0</v>
      </c>
      <c r="BL289" s="276">
        <v>0</v>
      </c>
      <c r="BM289" s="276">
        <v>0</v>
      </c>
      <c r="BN289" s="276">
        <v>0</v>
      </c>
      <c r="BO289" s="276">
        <v>0</v>
      </c>
      <c r="BP289" s="276">
        <v>0</v>
      </c>
    </row>
    <row r="290" spans="1:68" x14ac:dyDescent="0.35">
      <c r="A290" s="277" t="s">
        <v>563</v>
      </c>
      <c r="B290" s="277" t="s">
        <v>562</v>
      </c>
      <c r="C290" s="283" t="s">
        <v>554</v>
      </c>
      <c r="D290" s="277" t="s">
        <v>560</v>
      </c>
      <c r="F290" s="277" t="s">
        <v>610</v>
      </c>
      <c r="K290" s="277" t="s">
        <v>555</v>
      </c>
      <c r="L290" s="277" t="s">
        <v>557</v>
      </c>
      <c r="N290" s="277" t="s">
        <v>558</v>
      </c>
      <c r="O290" s="277" t="s">
        <v>555</v>
      </c>
      <c r="P290" s="277" t="s">
        <v>557</v>
      </c>
      <c r="Q290" s="277" t="s">
        <v>556</v>
      </c>
      <c r="R290" s="277" t="s">
        <v>555</v>
      </c>
      <c r="S290" s="276">
        <v>0</v>
      </c>
      <c r="T290" s="276">
        <v>0</v>
      </c>
      <c r="U290" s="276">
        <v>0</v>
      </c>
      <c r="V290" s="276">
        <v>0</v>
      </c>
      <c r="W290" s="276">
        <v>0</v>
      </c>
      <c r="X290" s="276">
        <v>0</v>
      </c>
      <c r="Y290" s="276">
        <v>0</v>
      </c>
      <c r="Z290" s="276">
        <v>0</v>
      </c>
      <c r="AA290" s="276">
        <v>0</v>
      </c>
      <c r="AB290" s="276">
        <v>0</v>
      </c>
      <c r="AC290" s="276"/>
      <c r="AD290" s="276">
        <v>0</v>
      </c>
      <c r="AE290" s="276"/>
      <c r="AF290" s="276">
        <v>0</v>
      </c>
      <c r="AG290" s="276">
        <v>0</v>
      </c>
      <c r="AH290" s="283" t="s">
        <v>483</v>
      </c>
      <c r="AJ290" s="281" t="s">
        <v>553</v>
      </c>
      <c r="AK290" s="280" t="s">
        <v>552</v>
      </c>
      <c r="AL290" s="276">
        <v>0.6</v>
      </c>
      <c r="AM290" s="279">
        <v>0</v>
      </c>
      <c r="AN290" s="276">
        <v>0</v>
      </c>
      <c r="AO290" s="276">
        <v>0.6</v>
      </c>
      <c r="AP290" s="279">
        <v>0</v>
      </c>
      <c r="AQ290" s="276">
        <v>0</v>
      </c>
      <c r="AR290" s="276">
        <v>0</v>
      </c>
      <c r="AS290" s="271">
        <v>2</v>
      </c>
      <c r="AT290" s="276">
        <v>0</v>
      </c>
      <c r="AU290" s="279">
        <v>0</v>
      </c>
      <c r="AV290" s="276">
        <v>0</v>
      </c>
      <c r="AW290" s="276">
        <v>0</v>
      </c>
      <c r="AX290" s="279">
        <v>0</v>
      </c>
      <c r="AY290" s="276">
        <v>0</v>
      </c>
      <c r="AZ290" s="276">
        <v>0</v>
      </c>
      <c r="BA290" s="278" t="s">
        <v>551</v>
      </c>
      <c r="BB290" s="276">
        <v>0</v>
      </c>
      <c r="BC290" s="279">
        <v>0</v>
      </c>
      <c r="BD290" s="276">
        <v>0</v>
      </c>
      <c r="BE290" s="276">
        <v>0</v>
      </c>
      <c r="BF290" s="279">
        <v>0</v>
      </c>
      <c r="BG290" s="276">
        <v>0</v>
      </c>
      <c r="BH290" s="276">
        <v>0</v>
      </c>
      <c r="BI290" s="278" t="s">
        <v>550</v>
      </c>
      <c r="BJ290" s="276">
        <v>0</v>
      </c>
      <c r="BK290" s="276">
        <v>0</v>
      </c>
      <c r="BL290" s="276">
        <v>0</v>
      </c>
      <c r="BM290" s="276">
        <v>0</v>
      </c>
      <c r="BN290" s="276">
        <v>0</v>
      </c>
      <c r="BO290" s="276">
        <v>0</v>
      </c>
      <c r="BP290" s="276">
        <v>0</v>
      </c>
    </row>
    <row r="291" spans="1:68" x14ac:dyDescent="0.35">
      <c r="A291" s="277" t="s">
        <v>563</v>
      </c>
      <c r="B291" s="277" t="s">
        <v>562</v>
      </c>
      <c r="C291" s="283" t="s">
        <v>609</v>
      </c>
      <c r="D291" s="277" t="s">
        <v>560</v>
      </c>
      <c r="F291" s="277" t="s">
        <v>608</v>
      </c>
      <c r="K291" s="277" t="s">
        <v>555</v>
      </c>
      <c r="L291" s="277" t="s">
        <v>557</v>
      </c>
      <c r="N291" s="277" t="s">
        <v>558</v>
      </c>
      <c r="O291" s="277" t="s">
        <v>555</v>
      </c>
      <c r="P291" s="277" t="s">
        <v>557</v>
      </c>
      <c r="Q291" s="277" t="s">
        <v>556</v>
      </c>
      <c r="R291" s="277" t="s">
        <v>555</v>
      </c>
      <c r="S291" s="276">
        <v>0</v>
      </c>
      <c r="T291" s="276">
        <v>0</v>
      </c>
      <c r="U291" s="276">
        <v>0</v>
      </c>
      <c r="V291" s="276">
        <v>0</v>
      </c>
      <c r="W291" s="276">
        <v>0</v>
      </c>
      <c r="X291" s="276">
        <v>0</v>
      </c>
      <c r="Y291" s="276">
        <v>0</v>
      </c>
      <c r="Z291" s="276">
        <v>0</v>
      </c>
      <c r="AA291" s="276">
        <v>0</v>
      </c>
      <c r="AB291" s="276">
        <v>0</v>
      </c>
      <c r="AC291" s="276"/>
      <c r="AD291" s="276">
        <v>0</v>
      </c>
      <c r="AE291" s="276"/>
      <c r="AF291" s="276">
        <v>0</v>
      </c>
      <c r="AG291" s="276">
        <v>0</v>
      </c>
      <c r="AH291" s="283" t="s">
        <v>483</v>
      </c>
      <c r="AJ291" s="281" t="s">
        <v>553</v>
      </c>
      <c r="AK291" s="280" t="s">
        <v>552</v>
      </c>
      <c r="AL291" s="276">
        <v>1.01</v>
      </c>
      <c r="AM291" s="279">
        <v>0</v>
      </c>
      <c r="AN291" s="276">
        <v>0</v>
      </c>
      <c r="AO291" s="276">
        <v>1.01</v>
      </c>
      <c r="AP291" s="279">
        <v>0</v>
      </c>
      <c r="AQ291" s="276">
        <v>0</v>
      </c>
      <c r="AR291" s="276">
        <v>0</v>
      </c>
      <c r="AS291" s="271">
        <v>2</v>
      </c>
      <c r="AT291" s="276">
        <v>0</v>
      </c>
      <c r="AU291" s="279">
        <v>0</v>
      </c>
      <c r="AV291" s="276">
        <v>0</v>
      </c>
      <c r="AW291" s="276">
        <v>0</v>
      </c>
      <c r="AX291" s="279">
        <v>0</v>
      </c>
      <c r="AY291" s="276">
        <v>0</v>
      </c>
      <c r="AZ291" s="276">
        <v>0</v>
      </c>
      <c r="BA291" s="278" t="s">
        <v>551</v>
      </c>
      <c r="BB291" s="276">
        <v>0</v>
      </c>
      <c r="BC291" s="279">
        <v>0</v>
      </c>
      <c r="BD291" s="276">
        <v>0</v>
      </c>
      <c r="BE291" s="276">
        <v>0</v>
      </c>
      <c r="BF291" s="279">
        <v>0</v>
      </c>
      <c r="BG291" s="276">
        <v>0</v>
      </c>
      <c r="BH291" s="276">
        <v>0</v>
      </c>
      <c r="BI291" s="278" t="s">
        <v>550</v>
      </c>
      <c r="BJ291" s="276">
        <v>0</v>
      </c>
      <c r="BK291" s="276">
        <v>0</v>
      </c>
      <c r="BL291" s="276">
        <v>0</v>
      </c>
      <c r="BM291" s="276">
        <v>0</v>
      </c>
      <c r="BN291" s="276">
        <v>0</v>
      </c>
      <c r="BO291" s="276">
        <v>0</v>
      </c>
      <c r="BP291" s="276">
        <v>0</v>
      </c>
    </row>
    <row r="292" spans="1:68" x14ac:dyDescent="0.35">
      <c r="A292" s="277" t="s">
        <v>563</v>
      </c>
      <c r="B292" s="277" t="s">
        <v>562</v>
      </c>
      <c r="C292" s="283" t="s">
        <v>607</v>
      </c>
      <c r="D292" s="277" t="s">
        <v>560</v>
      </c>
      <c r="F292" s="277" t="s">
        <v>606</v>
      </c>
      <c r="K292" s="277" t="s">
        <v>555</v>
      </c>
      <c r="L292" s="277" t="s">
        <v>557</v>
      </c>
      <c r="N292" s="277" t="s">
        <v>558</v>
      </c>
      <c r="O292" s="277" t="s">
        <v>555</v>
      </c>
      <c r="P292" s="277" t="s">
        <v>557</v>
      </c>
      <c r="Q292" s="277" t="s">
        <v>556</v>
      </c>
      <c r="R292" s="277" t="s">
        <v>555</v>
      </c>
      <c r="S292" s="276">
        <v>0</v>
      </c>
      <c r="T292" s="276">
        <v>0</v>
      </c>
      <c r="U292" s="276">
        <v>0</v>
      </c>
      <c r="V292" s="276">
        <v>0</v>
      </c>
      <c r="W292" s="276">
        <v>0</v>
      </c>
      <c r="X292" s="276">
        <v>0</v>
      </c>
      <c r="Y292" s="276">
        <v>0</v>
      </c>
      <c r="Z292" s="276">
        <v>0</v>
      </c>
      <c r="AA292" s="276">
        <v>0</v>
      </c>
      <c r="AB292" s="276">
        <v>0</v>
      </c>
      <c r="AC292" s="276"/>
      <c r="AD292" s="276">
        <v>0</v>
      </c>
      <c r="AE292" s="276"/>
      <c r="AF292" s="276">
        <v>0</v>
      </c>
      <c r="AG292" s="276">
        <v>0</v>
      </c>
      <c r="AH292" s="283" t="s">
        <v>483</v>
      </c>
      <c r="AJ292" s="281" t="s">
        <v>553</v>
      </c>
      <c r="AK292" s="280" t="s">
        <v>552</v>
      </c>
      <c r="AL292" s="276">
        <v>0</v>
      </c>
      <c r="AM292" s="279">
        <v>0</v>
      </c>
      <c r="AN292" s="276">
        <v>95</v>
      </c>
      <c r="AO292" s="276">
        <v>0</v>
      </c>
      <c r="AP292" s="279">
        <v>0</v>
      </c>
      <c r="AQ292" s="276">
        <v>0</v>
      </c>
      <c r="AR292" s="276">
        <v>0</v>
      </c>
      <c r="AS292" s="271">
        <v>2</v>
      </c>
      <c r="AT292" s="276">
        <v>0</v>
      </c>
      <c r="AU292" s="279">
        <v>0</v>
      </c>
      <c r="AV292" s="276">
        <v>0</v>
      </c>
      <c r="AW292" s="276">
        <v>0</v>
      </c>
      <c r="AX292" s="279">
        <v>0</v>
      </c>
      <c r="AY292" s="276">
        <v>0</v>
      </c>
      <c r="AZ292" s="276">
        <v>0</v>
      </c>
      <c r="BA292" s="278" t="s">
        <v>551</v>
      </c>
      <c r="BB292" s="276">
        <v>0</v>
      </c>
      <c r="BC292" s="279">
        <v>0</v>
      </c>
      <c r="BD292" s="276">
        <v>0</v>
      </c>
      <c r="BE292" s="276">
        <v>0</v>
      </c>
      <c r="BF292" s="279">
        <v>0</v>
      </c>
      <c r="BG292" s="276">
        <v>0</v>
      </c>
      <c r="BH292" s="276">
        <v>0</v>
      </c>
      <c r="BI292" s="278" t="s">
        <v>550</v>
      </c>
      <c r="BJ292" s="276">
        <v>0</v>
      </c>
      <c r="BK292" s="276">
        <v>0</v>
      </c>
      <c r="BL292" s="276">
        <v>0</v>
      </c>
      <c r="BM292" s="276">
        <v>0</v>
      </c>
      <c r="BN292" s="276">
        <v>0</v>
      </c>
      <c r="BO292" s="276">
        <v>0</v>
      </c>
      <c r="BP292" s="276">
        <v>0</v>
      </c>
    </row>
    <row r="293" spans="1:68" x14ac:dyDescent="0.35">
      <c r="A293" s="277" t="s">
        <v>563</v>
      </c>
      <c r="B293" s="277" t="s">
        <v>562</v>
      </c>
      <c r="C293" s="283" t="s">
        <v>605</v>
      </c>
      <c r="D293" s="277" t="s">
        <v>560</v>
      </c>
      <c r="F293" s="277" t="s">
        <v>604</v>
      </c>
      <c r="K293" s="277" t="s">
        <v>555</v>
      </c>
      <c r="L293" s="277" t="s">
        <v>557</v>
      </c>
      <c r="N293" s="277" t="s">
        <v>558</v>
      </c>
      <c r="O293" s="277" t="s">
        <v>555</v>
      </c>
      <c r="P293" s="277" t="s">
        <v>557</v>
      </c>
      <c r="Q293" s="277" t="s">
        <v>556</v>
      </c>
      <c r="R293" s="277" t="s">
        <v>555</v>
      </c>
      <c r="S293" s="276">
        <v>1134</v>
      </c>
      <c r="T293" s="276">
        <v>0</v>
      </c>
      <c r="U293" s="276">
        <v>0</v>
      </c>
      <c r="V293" s="276">
        <v>0</v>
      </c>
      <c r="W293" s="276">
        <v>0</v>
      </c>
      <c r="X293" s="276">
        <v>0</v>
      </c>
      <c r="Y293" s="276">
        <v>0</v>
      </c>
      <c r="Z293" s="276">
        <v>0</v>
      </c>
      <c r="AA293" s="276">
        <v>0</v>
      </c>
      <c r="AB293" s="276">
        <v>0</v>
      </c>
      <c r="AC293" s="276"/>
      <c r="AD293" s="276">
        <v>0</v>
      </c>
      <c r="AE293" s="276"/>
      <c r="AF293" s="276">
        <v>0</v>
      </c>
      <c r="AG293" s="276">
        <v>0</v>
      </c>
      <c r="AH293" s="283" t="s">
        <v>483</v>
      </c>
      <c r="AJ293" s="281" t="s">
        <v>553</v>
      </c>
      <c r="AK293" s="280" t="s">
        <v>552</v>
      </c>
      <c r="AL293" s="276">
        <v>0</v>
      </c>
      <c r="AM293" s="279">
        <v>0</v>
      </c>
      <c r="AN293" s="276">
        <v>39</v>
      </c>
      <c r="AO293" s="276">
        <v>0</v>
      </c>
      <c r="AP293" s="279">
        <v>0</v>
      </c>
      <c r="AQ293" s="276">
        <v>0</v>
      </c>
      <c r="AR293" s="276">
        <v>0</v>
      </c>
      <c r="AS293" s="271">
        <v>2</v>
      </c>
      <c r="AT293" s="276">
        <v>0</v>
      </c>
      <c r="AU293" s="279">
        <v>0</v>
      </c>
      <c r="AV293" s="276">
        <v>0</v>
      </c>
      <c r="AW293" s="276">
        <v>0</v>
      </c>
      <c r="AX293" s="279">
        <v>0</v>
      </c>
      <c r="AY293" s="276">
        <v>0</v>
      </c>
      <c r="AZ293" s="276">
        <v>0</v>
      </c>
      <c r="BA293" s="278" t="s">
        <v>551</v>
      </c>
      <c r="BB293" s="276">
        <v>0</v>
      </c>
      <c r="BC293" s="279">
        <v>0</v>
      </c>
      <c r="BD293" s="276">
        <v>0</v>
      </c>
      <c r="BE293" s="276">
        <v>0</v>
      </c>
      <c r="BF293" s="279">
        <v>0</v>
      </c>
      <c r="BG293" s="276">
        <v>0</v>
      </c>
      <c r="BH293" s="276">
        <v>0</v>
      </c>
      <c r="BI293" s="278" t="s">
        <v>550</v>
      </c>
      <c r="BJ293" s="276">
        <v>0</v>
      </c>
      <c r="BK293" s="276">
        <v>0</v>
      </c>
      <c r="BL293" s="276">
        <v>0</v>
      </c>
      <c r="BM293" s="276">
        <v>0</v>
      </c>
      <c r="BN293" s="276">
        <v>0</v>
      </c>
      <c r="BO293" s="276">
        <v>0</v>
      </c>
      <c r="BP293" s="276">
        <v>0</v>
      </c>
    </row>
    <row r="294" spans="1:68" x14ac:dyDescent="0.35">
      <c r="A294" s="277" t="s">
        <v>563</v>
      </c>
      <c r="B294" s="277" t="s">
        <v>562</v>
      </c>
      <c r="C294" s="283" t="s">
        <v>603</v>
      </c>
      <c r="D294" s="277" t="s">
        <v>560</v>
      </c>
      <c r="F294" s="277" t="s">
        <v>602</v>
      </c>
      <c r="K294" s="277" t="s">
        <v>555</v>
      </c>
      <c r="L294" s="277" t="s">
        <v>557</v>
      </c>
      <c r="N294" s="277" t="s">
        <v>558</v>
      </c>
      <c r="O294" s="277" t="s">
        <v>555</v>
      </c>
      <c r="P294" s="277" t="s">
        <v>557</v>
      </c>
      <c r="Q294" s="277" t="s">
        <v>556</v>
      </c>
      <c r="R294" s="277" t="s">
        <v>555</v>
      </c>
      <c r="S294" s="276">
        <v>0</v>
      </c>
      <c r="T294" s="276">
        <v>0</v>
      </c>
      <c r="U294" s="276">
        <v>0</v>
      </c>
      <c r="V294" s="276">
        <v>0</v>
      </c>
      <c r="W294" s="276">
        <v>0</v>
      </c>
      <c r="X294" s="276">
        <v>0</v>
      </c>
      <c r="Y294" s="276">
        <v>0</v>
      </c>
      <c r="Z294" s="276">
        <v>0</v>
      </c>
      <c r="AA294" s="276">
        <v>0</v>
      </c>
      <c r="AB294" s="276">
        <v>0</v>
      </c>
      <c r="AC294" s="276"/>
      <c r="AD294" s="276">
        <v>0</v>
      </c>
      <c r="AE294" s="276"/>
      <c r="AF294" s="276">
        <v>0</v>
      </c>
      <c r="AG294" s="276">
        <v>0</v>
      </c>
      <c r="AH294" s="283" t="s">
        <v>86</v>
      </c>
      <c r="AI294" s="282" t="s">
        <v>597</v>
      </c>
      <c r="AJ294" s="281" t="s">
        <v>553</v>
      </c>
      <c r="AK294" s="280" t="s">
        <v>552</v>
      </c>
      <c r="AL294" s="276">
        <v>0.64</v>
      </c>
      <c r="AM294" s="279">
        <v>0</v>
      </c>
      <c r="AN294" s="276">
        <v>0</v>
      </c>
      <c r="AO294" s="276">
        <v>0.64</v>
      </c>
      <c r="AP294" s="279">
        <v>0</v>
      </c>
      <c r="AQ294" s="276">
        <v>0</v>
      </c>
      <c r="AR294" s="276">
        <v>0</v>
      </c>
      <c r="AS294" s="271">
        <v>2</v>
      </c>
      <c r="AT294" s="276">
        <v>0</v>
      </c>
      <c r="AU294" s="279">
        <v>0</v>
      </c>
      <c r="AV294" s="276">
        <v>0</v>
      </c>
      <c r="AW294" s="276">
        <v>0</v>
      </c>
      <c r="AX294" s="279">
        <v>0</v>
      </c>
      <c r="AY294" s="276">
        <v>0</v>
      </c>
      <c r="AZ294" s="276">
        <v>0</v>
      </c>
      <c r="BA294" s="278" t="s">
        <v>551</v>
      </c>
      <c r="BB294" s="276">
        <v>0</v>
      </c>
      <c r="BC294" s="279">
        <v>0</v>
      </c>
      <c r="BD294" s="276">
        <v>0</v>
      </c>
      <c r="BE294" s="276">
        <v>0</v>
      </c>
      <c r="BF294" s="279">
        <v>0</v>
      </c>
      <c r="BG294" s="276">
        <v>0</v>
      </c>
      <c r="BH294" s="276">
        <v>0</v>
      </c>
      <c r="BI294" s="278" t="s">
        <v>550</v>
      </c>
      <c r="BJ294" s="276">
        <v>0</v>
      </c>
      <c r="BK294" s="276">
        <v>0</v>
      </c>
      <c r="BL294" s="276">
        <v>0</v>
      </c>
      <c r="BM294" s="276">
        <v>0</v>
      </c>
      <c r="BN294" s="276">
        <v>0</v>
      </c>
      <c r="BO294" s="276">
        <v>0</v>
      </c>
      <c r="BP294" s="276">
        <v>0</v>
      </c>
    </row>
    <row r="295" spans="1:68" x14ac:dyDescent="0.35">
      <c r="A295" s="277" t="s">
        <v>563</v>
      </c>
      <c r="B295" s="277" t="s">
        <v>562</v>
      </c>
      <c r="C295" s="283" t="s">
        <v>601</v>
      </c>
      <c r="D295" s="277" t="s">
        <v>560</v>
      </c>
      <c r="F295" s="277" t="s">
        <v>600</v>
      </c>
      <c r="H295" s="277" t="s">
        <v>144</v>
      </c>
      <c r="K295" s="277" t="s">
        <v>555</v>
      </c>
      <c r="L295" s="277" t="s">
        <v>557</v>
      </c>
      <c r="N295" s="277" t="s">
        <v>558</v>
      </c>
      <c r="O295" s="277" t="s">
        <v>555</v>
      </c>
      <c r="P295" s="277" t="s">
        <v>557</v>
      </c>
      <c r="Q295" s="277" t="s">
        <v>556</v>
      </c>
      <c r="R295" s="277" t="s">
        <v>555</v>
      </c>
      <c r="S295" s="276">
        <v>0</v>
      </c>
      <c r="T295" s="276">
        <v>0</v>
      </c>
      <c r="U295" s="276">
        <v>0</v>
      </c>
      <c r="V295" s="276">
        <v>0</v>
      </c>
      <c r="W295" s="276">
        <v>0</v>
      </c>
      <c r="X295" s="276">
        <v>0</v>
      </c>
      <c r="Y295" s="276">
        <v>0</v>
      </c>
      <c r="Z295" s="276">
        <v>0</v>
      </c>
      <c r="AA295" s="276">
        <v>0</v>
      </c>
      <c r="AB295" s="276">
        <v>0</v>
      </c>
      <c r="AC295" s="276"/>
      <c r="AD295" s="276">
        <v>0</v>
      </c>
      <c r="AE295" s="276"/>
      <c r="AF295" s="276">
        <v>0</v>
      </c>
      <c r="AG295" s="276">
        <v>0</v>
      </c>
      <c r="AH295" s="283" t="s">
        <v>86</v>
      </c>
      <c r="AI295" s="282" t="s">
        <v>595</v>
      </c>
      <c r="AJ295" s="281" t="s">
        <v>553</v>
      </c>
      <c r="AK295" s="280" t="s">
        <v>552</v>
      </c>
      <c r="AL295" s="276">
        <v>2.09</v>
      </c>
      <c r="AM295" s="279">
        <v>0</v>
      </c>
      <c r="AN295" s="276">
        <v>0</v>
      </c>
      <c r="AO295" s="276">
        <v>2.09</v>
      </c>
      <c r="AP295" s="279">
        <v>0</v>
      </c>
      <c r="AQ295" s="276">
        <v>0</v>
      </c>
      <c r="AR295" s="276">
        <v>0</v>
      </c>
      <c r="AS295" s="271">
        <v>2</v>
      </c>
      <c r="AT295" s="276">
        <v>0</v>
      </c>
      <c r="AU295" s="279">
        <v>0</v>
      </c>
      <c r="AV295" s="276">
        <v>0</v>
      </c>
      <c r="AW295" s="276">
        <v>0</v>
      </c>
      <c r="AX295" s="279">
        <v>0</v>
      </c>
      <c r="AY295" s="276">
        <v>0</v>
      </c>
      <c r="AZ295" s="276">
        <v>0</v>
      </c>
      <c r="BA295" s="278" t="s">
        <v>551</v>
      </c>
      <c r="BB295" s="276">
        <v>0</v>
      </c>
      <c r="BC295" s="279">
        <v>0</v>
      </c>
      <c r="BD295" s="276">
        <v>0</v>
      </c>
      <c r="BE295" s="276">
        <v>0</v>
      </c>
      <c r="BF295" s="279">
        <v>0</v>
      </c>
      <c r="BG295" s="276">
        <v>0</v>
      </c>
      <c r="BH295" s="276">
        <v>0</v>
      </c>
      <c r="BI295" s="278" t="s">
        <v>550</v>
      </c>
      <c r="BJ295" s="276">
        <v>0</v>
      </c>
      <c r="BK295" s="276">
        <v>0</v>
      </c>
      <c r="BL295" s="276">
        <v>0</v>
      </c>
      <c r="BM295" s="276">
        <v>0</v>
      </c>
      <c r="BN295" s="276">
        <v>0</v>
      </c>
      <c r="BO295" s="276">
        <v>0</v>
      </c>
      <c r="BP295" s="276">
        <v>0</v>
      </c>
    </row>
    <row r="296" spans="1:68" x14ac:dyDescent="0.35">
      <c r="A296" s="277" t="s">
        <v>563</v>
      </c>
      <c r="B296" s="277" t="s">
        <v>562</v>
      </c>
      <c r="C296" s="283" t="s">
        <v>599</v>
      </c>
      <c r="D296" s="277" t="s">
        <v>560</v>
      </c>
      <c r="F296" s="277" t="s">
        <v>598</v>
      </c>
      <c r="K296" s="277" t="s">
        <v>555</v>
      </c>
      <c r="L296" s="277" t="s">
        <v>557</v>
      </c>
      <c r="N296" s="277" t="s">
        <v>558</v>
      </c>
      <c r="O296" s="277" t="s">
        <v>555</v>
      </c>
      <c r="P296" s="277" t="s">
        <v>557</v>
      </c>
      <c r="Q296" s="277" t="s">
        <v>556</v>
      </c>
      <c r="R296" s="277" t="s">
        <v>555</v>
      </c>
      <c r="S296" s="276">
        <v>0</v>
      </c>
      <c r="T296" s="276">
        <v>0</v>
      </c>
      <c r="U296" s="276">
        <v>0</v>
      </c>
      <c r="V296" s="276">
        <v>0</v>
      </c>
      <c r="W296" s="276">
        <v>0</v>
      </c>
      <c r="X296" s="276">
        <v>0</v>
      </c>
      <c r="Y296" s="276">
        <v>0</v>
      </c>
      <c r="Z296" s="276">
        <v>0</v>
      </c>
      <c r="AA296" s="276">
        <v>0</v>
      </c>
      <c r="AB296" s="276">
        <v>0</v>
      </c>
      <c r="AC296" s="276"/>
      <c r="AD296" s="276">
        <v>0</v>
      </c>
      <c r="AE296" s="276"/>
      <c r="AF296" s="276">
        <v>0</v>
      </c>
      <c r="AG296" s="276">
        <v>0</v>
      </c>
      <c r="AH296" s="283" t="s">
        <v>86</v>
      </c>
      <c r="AI296" s="282" t="s">
        <v>593</v>
      </c>
      <c r="AJ296" s="281" t="s">
        <v>553</v>
      </c>
      <c r="AK296" s="280" t="s">
        <v>552</v>
      </c>
      <c r="AL296" s="276">
        <v>0.95</v>
      </c>
      <c r="AM296" s="279">
        <v>0</v>
      </c>
      <c r="AN296" s="276">
        <v>0</v>
      </c>
      <c r="AO296" s="276">
        <v>0.95</v>
      </c>
      <c r="AP296" s="279">
        <v>0</v>
      </c>
      <c r="AQ296" s="276">
        <v>0</v>
      </c>
      <c r="AR296" s="276">
        <v>0</v>
      </c>
      <c r="AS296" s="271">
        <v>2</v>
      </c>
      <c r="AT296" s="276">
        <v>0</v>
      </c>
      <c r="AU296" s="279">
        <v>0</v>
      </c>
      <c r="AV296" s="276">
        <v>0</v>
      </c>
      <c r="AW296" s="276">
        <v>0</v>
      </c>
      <c r="AX296" s="279">
        <v>0</v>
      </c>
      <c r="AY296" s="276">
        <v>0</v>
      </c>
      <c r="AZ296" s="276">
        <v>0</v>
      </c>
      <c r="BA296" s="278" t="s">
        <v>551</v>
      </c>
      <c r="BB296" s="276">
        <v>0</v>
      </c>
      <c r="BC296" s="279">
        <v>0</v>
      </c>
      <c r="BD296" s="276">
        <v>0</v>
      </c>
      <c r="BE296" s="276">
        <v>0</v>
      </c>
      <c r="BF296" s="279">
        <v>0</v>
      </c>
      <c r="BG296" s="276">
        <v>0</v>
      </c>
      <c r="BH296" s="276">
        <v>0</v>
      </c>
      <c r="BI296" s="278" t="s">
        <v>550</v>
      </c>
      <c r="BJ296" s="276">
        <v>0</v>
      </c>
      <c r="BK296" s="276">
        <v>0</v>
      </c>
      <c r="BL296" s="276">
        <v>0</v>
      </c>
      <c r="BM296" s="276">
        <v>0</v>
      </c>
      <c r="BN296" s="276">
        <v>0</v>
      </c>
      <c r="BO296" s="276">
        <v>0</v>
      </c>
      <c r="BP296" s="276">
        <v>0</v>
      </c>
    </row>
    <row r="297" spans="1:68" x14ac:dyDescent="0.35">
      <c r="A297" s="277" t="s">
        <v>563</v>
      </c>
      <c r="B297" s="277" t="s">
        <v>562</v>
      </c>
      <c r="C297" s="283" t="s">
        <v>597</v>
      </c>
      <c r="D297" s="277" t="s">
        <v>560</v>
      </c>
      <c r="F297" s="277" t="s">
        <v>596</v>
      </c>
      <c r="K297" s="277" t="s">
        <v>555</v>
      </c>
      <c r="L297" s="277" t="s">
        <v>557</v>
      </c>
      <c r="N297" s="277" t="s">
        <v>558</v>
      </c>
      <c r="O297" s="277" t="s">
        <v>555</v>
      </c>
      <c r="P297" s="277" t="s">
        <v>557</v>
      </c>
      <c r="Q297" s="277" t="s">
        <v>556</v>
      </c>
      <c r="R297" s="277" t="s">
        <v>555</v>
      </c>
      <c r="S297" s="276">
        <v>0</v>
      </c>
      <c r="T297" s="276">
        <v>0</v>
      </c>
      <c r="U297" s="276">
        <v>0</v>
      </c>
      <c r="V297" s="276">
        <v>0</v>
      </c>
      <c r="W297" s="276">
        <v>0</v>
      </c>
      <c r="X297" s="276">
        <v>0</v>
      </c>
      <c r="Y297" s="276">
        <v>0</v>
      </c>
      <c r="Z297" s="276">
        <v>0</v>
      </c>
      <c r="AA297" s="276">
        <v>0</v>
      </c>
      <c r="AB297" s="276">
        <v>0</v>
      </c>
      <c r="AC297" s="276"/>
      <c r="AD297" s="276">
        <v>0</v>
      </c>
      <c r="AE297" s="276"/>
      <c r="AF297" s="276">
        <v>0</v>
      </c>
      <c r="AG297" s="276">
        <v>0</v>
      </c>
      <c r="AH297" s="283" t="s">
        <v>483</v>
      </c>
      <c r="AJ297" s="281" t="s">
        <v>553</v>
      </c>
      <c r="AK297" s="280" t="s">
        <v>552</v>
      </c>
      <c r="AL297" s="276">
        <v>0.52</v>
      </c>
      <c r="AM297" s="279">
        <v>0</v>
      </c>
      <c r="AN297" s="276">
        <v>0</v>
      </c>
      <c r="AO297" s="276">
        <v>0.52</v>
      </c>
      <c r="AP297" s="279">
        <v>0</v>
      </c>
      <c r="AQ297" s="276">
        <v>0</v>
      </c>
      <c r="AR297" s="276">
        <v>0</v>
      </c>
      <c r="AS297" s="271">
        <v>2</v>
      </c>
      <c r="AT297" s="276">
        <v>0</v>
      </c>
      <c r="AU297" s="279">
        <v>0</v>
      </c>
      <c r="AV297" s="276">
        <v>0</v>
      </c>
      <c r="AW297" s="276">
        <v>0</v>
      </c>
      <c r="AX297" s="279">
        <v>0</v>
      </c>
      <c r="AY297" s="276">
        <v>0</v>
      </c>
      <c r="AZ297" s="276">
        <v>0</v>
      </c>
      <c r="BA297" s="278" t="s">
        <v>551</v>
      </c>
      <c r="BB297" s="276">
        <v>0</v>
      </c>
      <c r="BC297" s="279">
        <v>0</v>
      </c>
      <c r="BD297" s="276">
        <v>0</v>
      </c>
      <c r="BE297" s="276">
        <v>0</v>
      </c>
      <c r="BF297" s="279">
        <v>0</v>
      </c>
      <c r="BG297" s="276">
        <v>0</v>
      </c>
      <c r="BH297" s="276">
        <v>0</v>
      </c>
      <c r="BI297" s="278" t="s">
        <v>550</v>
      </c>
      <c r="BJ297" s="276">
        <v>0</v>
      </c>
      <c r="BK297" s="276">
        <v>0</v>
      </c>
      <c r="BL297" s="276">
        <v>0</v>
      </c>
      <c r="BM297" s="276">
        <v>0</v>
      </c>
      <c r="BN297" s="276">
        <v>0</v>
      </c>
      <c r="BO297" s="276">
        <v>0</v>
      </c>
      <c r="BP297" s="276">
        <v>0</v>
      </c>
    </row>
    <row r="298" spans="1:68" x14ac:dyDescent="0.35">
      <c r="A298" s="277" t="s">
        <v>563</v>
      </c>
      <c r="B298" s="277" t="s">
        <v>562</v>
      </c>
      <c r="C298" s="283" t="s">
        <v>595</v>
      </c>
      <c r="D298" s="277" t="s">
        <v>560</v>
      </c>
      <c r="F298" s="277" t="s">
        <v>594</v>
      </c>
      <c r="K298" s="277" t="s">
        <v>555</v>
      </c>
      <c r="L298" s="277" t="s">
        <v>557</v>
      </c>
      <c r="N298" s="277" t="s">
        <v>558</v>
      </c>
      <c r="O298" s="277" t="s">
        <v>555</v>
      </c>
      <c r="P298" s="277" t="s">
        <v>557</v>
      </c>
      <c r="Q298" s="277" t="s">
        <v>556</v>
      </c>
      <c r="R298" s="277" t="s">
        <v>555</v>
      </c>
      <c r="S298" s="276">
        <v>0</v>
      </c>
      <c r="T298" s="276">
        <v>0</v>
      </c>
      <c r="U298" s="276">
        <v>0</v>
      </c>
      <c r="V298" s="276">
        <v>0</v>
      </c>
      <c r="W298" s="276">
        <v>0</v>
      </c>
      <c r="X298" s="276">
        <v>0</v>
      </c>
      <c r="Y298" s="276">
        <v>0</v>
      </c>
      <c r="Z298" s="276">
        <v>0</v>
      </c>
      <c r="AA298" s="276">
        <v>0</v>
      </c>
      <c r="AB298" s="276">
        <v>0</v>
      </c>
      <c r="AC298" s="276"/>
      <c r="AD298" s="276">
        <v>0</v>
      </c>
      <c r="AE298" s="276"/>
      <c r="AF298" s="276">
        <v>0</v>
      </c>
      <c r="AG298" s="276">
        <v>0</v>
      </c>
      <c r="AH298" s="283" t="s">
        <v>483</v>
      </c>
      <c r="AJ298" s="281" t="s">
        <v>553</v>
      </c>
      <c r="AK298" s="280" t="s">
        <v>552</v>
      </c>
      <c r="AL298" s="276">
        <v>0.85</v>
      </c>
      <c r="AM298" s="279">
        <v>0</v>
      </c>
      <c r="AN298" s="276">
        <v>0</v>
      </c>
      <c r="AO298" s="276">
        <v>0.85</v>
      </c>
      <c r="AP298" s="279">
        <v>0</v>
      </c>
      <c r="AQ298" s="276">
        <v>0</v>
      </c>
      <c r="AR298" s="276">
        <v>0</v>
      </c>
      <c r="AS298" s="271">
        <v>2</v>
      </c>
      <c r="AT298" s="276">
        <v>0</v>
      </c>
      <c r="AU298" s="279">
        <v>0</v>
      </c>
      <c r="AV298" s="276">
        <v>0</v>
      </c>
      <c r="AW298" s="276">
        <v>0</v>
      </c>
      <c r="AX298" s="279">
        <v>0</v>
      </c>
      <c r="AY298" s="276">
        <v>0</v>
      </c>
      <c r="AZ298" s="276">
        <v>0</v>
      </c>
      <c r="BA298" s="278" t="s">
        <v>551</v>
      </c>
      <c r="BB298" s="276">
        <v>0</v>
      </c>
      <c r="BC298" s="279">
        <v>0</v>
      </c>
      <c r="BD298" s="276">
        <v>0</v>
      </c>
      <c r="BE298" s="276">
        <v>0</v>
      </c>
      <c r="BF298" s="279">
        <v>0</v>
      </c>
      <c r="BG298" s="276">
        <v>0</v>
      </c>
      <c r="BH298" s="276">
        <v>0</v>
      </c>
      <c r="BI298" s="278" t="s">
        <v>550</v>
      </c>
      <c r="BJ298" s="276">
        <v>0</v>
      </c>
      <c r="BK298" s="276">
        <v>0</v>
      </c>
      <c r="BL298" s="276">
        <v>0</v>
      </c>
      <c r="BM298" s="276">
        <v>0</v>
      </c>
      <c r="BN298" s="276">
        <v>0</v>
      </c>
      <c r="BO298" s="276">
        <v>0</v>
      </c>
      <c r="BP298" s="276">
        <v>0</v>
      </c>
    </row>
    <row r="299" spans="1:68" x14ac:dyDescent="0.35">
      <c r="A299" s="277" t="s">
        <v>563</v>
      </c>
      <c r="B299" s="277" t="s">
        <v>562</v>
      </c>
      <c r="C299" s="283" t="s">
        <v>593</v>
      </c>
      <c r="D299" s="277" t="s">
        <v>560</v>
      </c>
      <c r="F299" s="277" t="s">
        <v>592</v>
      </c>
      <c r="K299" s="277" t="s">
        <v>555</v>
      </c>
      <c r="L299" s="277" t="s">
        <v>557</v>
      </c>
      <c r="N299" s="277" t="s">
        <v>558</v>
      </c>
      <c r="O299" s="277" t="s">
        <v>555</v>
      </c>
      <c r="P299" s="277" t="s">
        <v>557</v>
      </c>
      <c r="Q299" s="277" t="s">
        <v>556</v>
      </c>
      <c r="R299" s="277" t="s">
        <v>555</v>
      </c>
      <c r="S299" s="276">
        <v>0</v>
      </c>
      <c r="T299" s="276">
        <v>0</v>
      </c>
      <c r="U299" s="276">
        <v>0</v>
      </c>
      <c r="V299" s="276">
        <v>0</v>
      </c>
      <c r="W299" s="276">
        <v>0</v>
      </c>
      <c r="X299" s="276">
        <v>0</v>
      </c>
      <c r="Y299" s="276">
        <v>0</v>
      </c>
      <c r="Z299" s="276">
        <v>0</v>
      </c>
      <c r="AA299" s="276">
        <v>0</v>
      </c>
      <c r="AB299" s="276">
        <v>0</v>
      </c>
      <c r="AC299" s="276"/>
      <c r="AD299" s="276">
        <v>0</v>
      </c>
      <c r="AE299" s="276"/>
      <c r="AF299" s="276">
        <v>0</v>
      </c>
      <c r="AG299" s="276">
        <v>0</v>
      </c>
      <c r="AH299" s="283" t="s">
        <v>483</v>
      </c>
      <c r="AJ299" s="281" t="s">
        <v>553</v>
      </c>
      <c r="AK299" s="280" t="s">
        <v>552</v>
      </c>
      <c r="AL299" s="276">
        <v>0.7</v>
      </c>
      <c r="AM299" s="279">
        <v>0</v>
      </c>
      <c r="AN299" s="276">
        <v>0</v>
      </c>
      <c r="AO299" s="276">
        <v>0.7</v>
      </c>
      <c r="AP299" s="279">
        <v>0</v>
      </c>
      <c r="AQ299" s="276">
        <v>0</v>
      </c>
      <c r="AR299" s="276">
        <v>0</v>
      </c>
      <c r="AS299" s="271">
        <v>2</v>
      </c>
      <c r="AT299" s="276">
        <v>0</v>
      </c>
      <c r="AU299" s="279">
        <v>0</v>
      </c>
      <c r="AV299" s="276">
        <v>0</v>
      </c>
      <c r="AW299" s="276">
        <v>0</v>
      </c>
      <c r="AX299" s="279">
        <v>0</v>
      </c>
      <c r="AY299" s="276">
        <v>0</v>
      </c>
      <c r="AZ299" s="276">
        <v>0</v>
      </c>
      <c r="BA299" s="278" t="s">
        <v>551</v>
      </c>
      <c r="BB299" s="276">
        <v>0</v>
      </c>
      <c r="BC299" s="279">
        <v>0</v>
      </c>
      <c r="BD299" s="276">
        <v>0</v>
      </c>
      <c r="BE299" s="276">
        <v>0</v>
      </c>
      <c r="BF299" s="279">
        <v>0</v>
      </c>
      <c r="BG299" s="276">
        <v>0</v>
      </c>
      <c r="BH299" s="276">
        <v>0</v>
      </c>
      <c r="BI299" s="278" t="s">
        <v>550</v>
      </c>
      <c r="BJ299" s="276">
        <v>0</v>
      </c>
      <c r="BK299" s="276">
        <v>0</v>
      </c>
      <c r="BL299" s="276">
        <v>0</v>
      </c>
      <c r="BM299" s="276">
        <v>0</v>
      </c>
      <c r="BN299" s="276">
        <v>0</v>
      </c>
      <c r="BO299" s="276">
        <v>0</v>
      </c>
      <c r="BP299" s="276">
        <v>0</v>
      </c>
    </row>
    <row r="300" spans="1:68" x14ac:dyDescent="0.35">
      <c r="A300" s="277" t="s">
        <v>563</v>
      </c>
      <c r="B300" s="277" t="s">
        <v>562</v>
      </c>
      <c r="C300" s="283" t="s">
        <v>585</v>
      </c>
      <c r="D300" s="277" t="s">
        <v>560</v>
      </c>
      <c r="F300" s="277" t="s">
        <v>591</v>
      </c>
      <c r="K300" s="277" t="s">
        <v>555</v>
      </c>
      <c r="L300" s="277" t="s">
        <v>557</v>
      </c>
      <c r="N300" s="277" t="s">
        <v>558</v>
      </c>
      <c r="O300" s="277" t="s">
        <v>555</v>
      </c>
      <c r="P300" s="277" t="s">
        <v>557</v>
      </c>
      <c r="Q300" s="277" t="s">
        <v>556</v>
      </c>
      <c r="R300" s="277" t="s">
        <v>555</v>
      </c>
      <c r="S300" s="276">
        <v>0</v>
      </c>
      <c r="T300" s="276">
        <v>0</v>
      </c>
      <c r="U300" s="276">
        <v>0</v>
      </c>
      <c r="V300" s="276">
        <v>0</v>
      </c>
      <c r="W300" s="276">
        <v>0</v>
      </c>
      <c r="X300" s="276">
        <v>0</v>
      </c>
      <c r="Y300" s="276">
        <v>0</v>
      </c>
      <c r="Z300" s="276">
        <v>0</v>
      </c>
      <c r="AA300" s="276">
        <v>0</v>
      </c>
      <c r="AB300" s="276">
        <v>0</v>
      </c>
      <c r="AC300" s="276"/>
      <c r="AD300" s="276">
        <v>0</v>
      </c>
      <c r="AE300" s="276"/>
      <c r="AF300" s="276">
        <v>0</v>
      </c>
      <c r="AG300" s="276">
        <v>0</v>
      </c>
      <c r="AH300" s="283" t="s">
        <v>483</v>
      </c>
      <c r="AJ300" s="281" t="s">
        <v>553</v>
      </c>
      <c r="AK300" s="280" t="s">
        <v>552</v>
      </c>
      <c r="AL300" s="276">
        <v>0.67</v>
      </c>
      <c r="AM300" s="279">
        <v>0</v>
      </c>
      <c r="AN300" s="276">
        <v>0</v>
      </c>
      <c r="AO300" s="276">
        <v>0.67</v>
      </c>
      <c r="AP300" s="279">
        <v>0</v>
      </c>
      <c r="AQ300" s="276">
        <v>0</v>
      </c>
      <c r="AR300" s="276">
        <v>0</v>
      </c>
      <c r="AS300" s="271">
        <v>2</v>
      </c>
      <c r="AT300" s="276">
        <v>0</v>
      </c>
      <c r="AU300" s="279">
        <v>0</v>
      </c>
      <c r="AV300" s="276">
        <v>0</v>
      </c>
      <c r="AW300" s="276">
        <v>0</v>
      </c>
      <c r="AX300" s="279">
        <v>0</v>
      </c>
      <c r="AY300" s="276">
        <v>0</v>
      </c>
      <c r="AZ300" s="276">
        <v>0</v>
      </c>
      <c r="BA300" s="278" t="s">
        <v>551</v>
      </c>
      <c r="BB300" s="276">
        <v>0</v>
      </c>
      <c r="BC300" s="279">
        <v>0</v>
      </c>
      <c r="BD300" s="276">
        <v>0</v>
      </c>
      <c r="BE300" s="276">
        <v>0</v>
      </c>
      <c r="BF300" s="279">
        <v>0</v>
      </c>
      <c r="BG300" s="276">
        <v>0</v>
      </c>
      <c r="BH300" s="276">
        <v>0</v>
      </c>
      <c r="BI300" s="278" t="s">
        <v>550</v>
      </c>
      <c r="BJ300" s="276">
        <v>0</v>
      </c>
      <c r="BK300" s="276">
        <v>0</v>
      </c>
      <c r="BL300" s="276">
        <v>0</v>
      </c>
      <c r="BM300" s="276">
        <v>0</v>
      </c>
      <c r="BN300" s="276">
        <v>0</v>
      </c>
      <c r="BO300" s="276">
        <v>0</v>
      </c>
      <c r="BP300" s="276">
        <v>0</v>
      </c>
    </row>
    <row r="301" spans="1:68" x14ac:dyDescent="0.35">
      <c r="A301" s="277" t="s">
        <v>563</v>
      </c>
      <c r="B301" s="277" t="s">
        <v>562</v>
      </c>
      <c r="C301" s="283" t="s">
        <v>590</v>
      </c>
      <c r="D301" s="277" t="s">
        <v>560</v>
      </c>
      <c r="F301" s="277" t="s">
        <v>589</v>
      </c>
      <c r="K301" s="277" t="s">
        <v>555</v>
      </c>
      <c r="L301" s="277" t="s">
        <v>557</v>
      </c>
      <c r="N301" s="277" t="s">
        <v>558</v>
      </c>
      <c r="O301" s="277" t="s">
        <v>555</v>
      </c>
      <c r="P301" s="277" t="s">
        <v>557</v>
      </c>
      <c r="Q301" s="277" t="s">
        <v>556</v>
      </c>
      <c r="R301" s="277" t="s">
        <v>555</v>
      </c>
      <c r="S301" s="276">
        <v>0</v>
      </c>
      <c r="T301" s="276">
        <v>0</v>
      </c>
      <c r="U301" s="276">
        <v>0</v>
      </c>
      <c r="V301" s="276">
        <v>0</v>
      </c>
      <c r="W301" s="276">
        <v>0</v>
      </c>
      <c r="X301" s="276">
        <v>0</v>
      </c>
      <c r="Y301" s="276">
        <v>0</v>
      </c>
      <c r="Z301" s="276">
        <v>0</v>
      </c>
      <c r="AA301" s="276">
        <v>0</v>
      </c>
      <c r="AB301" s="276">
        <v>0</v>
      </c>
      <c r="AC301" s="276"/>
      <c r="AD301" s="276">
        <v>0</v>
      </c>
      <c r="AE301" s="276"/>
      <c r="AF301" s="276">
        <v>0</v>
      </c>
      <c r="AG301" s="276">
        <v>0</v>
      </c>
      <c r="AH301" s="283" t="s">
        <v>86</v>
      </c>
      <c r="AI301" s="282" t="s">
        <v>588</v>
      </c>
      <c r="AJ301" s="281" t="s">
        <v>553</v>
      </c>
      <c r="AK301" s="280" t="s">
        <v>552</v>
      </c>
      <c r="AL301" s="276">
        <v>0.61</v>
      </c>
      <c r="AM301" s="279">
        <v>0</v>
      </c>
      <c r="AN301" s="276">
        <v>0</v>
      </c>
      <c r="AO301" s="276">
        <v>0.61</v>
      </c>
      <c r="AP301" s="279">
        <v>0</v>
      </c>
      <c r="AQ301" s="276">
        <v>0</v>
      </c>
      <c r="AR301" s="276">
        <v>0</v>
      </c>
      <c r="AS301" s="271">
        <v>2</v>
      </c>
      <c r="AT301" s="276">
        <v>0</v>
      </c>
      <c r="AU301" s="279">
        <v>0</v>
      </c>
      <c r="AV301" s="276">
        <v>0</v>
      </c>
      <c r="AW301" s="276">
        <v>0</v>
      </c>
      <c r="AX301" s="279">
        <v>0</v>
      </c>
      <c r="AY301" s="276">
        <v>0</v>
      </c>
      <c r="AZ301" s="276">
        <v>0</v>
      </c>
      <c r="BA301" s="278" t="s">
        <v>551</v>
      </c>
      <c r="BB301" s="276">
        <v>0</v>
      </c>
      <c r="BC301" s="279">
        <v>0</v>
      </c>
      <c r="BD301" s="276">
        <v>0</v>
      </c>
      <c r="BE301" s="276">
        <v>0</v>
      </c>
      <c r="BF301" s="279">
        <v>0</v>
      </c>
      <c r="BG301" s="276">
        <v>0</v>
      </c>
      <c r="BH301" s="276">
        <v>0</v>
      </c>
      <c r="BI301" s="278" t="s">
        <v>550</v>
      </c>
      <c r="BJ301" s="276">
        <v>0</v>
      </c>
      <c r="BK301" s="276">
        <v>0</v>
      </c>
      <c r="BL301" s="276">
        <v>0</v>
      </c>
      <c r="BM301" s="276">
        <v>0</v>
      </c>
      <c r="BN301" s="276">
        <v>0</v>
      </c>
      <c r="BO301" s="276">
        <v>0</v>
      </c>
      <c r="BP301" s="276">
        <v>0</v>
      </c>
    </row>
    <row r="302" spans="1:68" x14ac:dyDescent="0.35">
      <c r="A302" s="277" t="s">
        <v>563</v>
      </c>
      <c r="B302" s="277" t="s">
        <v>562</v>
      </c>
      <c r="C302" s="283" t="s">
        <v>587</v>
      </c>
      <c r="D302" s="277" t="s">
        <v>560</v>
      </c>
      <c r="F302" s="277" t="s">
        <v>586</v>
      </c>
      <c r="K302" s="277" t="s">
        <v>555</v>
      </c>
      <c r="L302" s="277" t="s">
        <v>557</v>
      </c>
      <c r="N302" s="277" t="s">
        <v>558</v>
      </c>
      <c r="O302" s="277" t="s">
        <v>555</v>
      </c>
      <c r="P302" s="277" t="s">
        <v>557</v>
      </c>
      <c r="Q302" s="277" t="s">
        <v>556</v>
      </c>
      <c r="R302" s="277" t="s">
        <v>555</v>
      </c>
      <c r="S302" s="276">
        <v>0</v>
      </c>
      <c r="T302" s="276">
        <v>0</v>
      </c>
      <c r="U302" s="276">
        <v>0</v>
      </c>
      <c r="V302" s="276">
        <v>0</v>
      </c>
      <c r="W302" s="276">
        <v>0</v>
      </c>
      <c r="X302" s="276">
        <v>0</v>
      </c>
      <c r="Y302" s="276">
        <v>0</v>
      </c>
      <c r="Z302" s="276">
        <v>0</v>
      </c>
      <c r="AA302" s="276">
        <v>0</v>
      </c>
      <c r="AB302" s="276">
        <v>0</v>
      </c>
      <c r="AC302" s="276"/>
      <c r="AD302" s="276">
        <v>0</v>
      </c>
      <c r="AE302" s="276"/>
      <c r="AF302" s="276">
        <v>0</v>
      </c>
      <c r="AG302" s="276">
        <v>0</v>
      </c>
      <c r="AH302" s="283" t="s">
        <v>86</v>
      </c>
      <c r="AI302" s="282" t="s">
        <v>585</v>
      </c>
      <c r="AJ302" s="281" t="s">
        <v>553</v>
      </c>
      <c r="AK302" s="280" t="s">
        <v>552</v>
      </c>
      <c r="AL302" s="276">
        <v>0.9</v>
      </c>
      <c r="AM302" s="279">
        <v>0</v>
      </c>
      <c r="AN302" s="276">
        <v>0</v>
      </c>
      <c r="AO302" s="276">
        <v>0.9</v>
      </c>
      <c r="AP302" s="279">
        <v>0</v>
      </c>
      <c r="AQ302" s="276">
        <v>0</v>
      </c>
      <c r="AR302" s="276">
        <v>0</v>
      </c>
      <c r="AS302" s="271">
        <v>2</v>
      </c>
      <c r="AT302" s="276">
        <v>0</v>
      </c>
      <c r="AU302" s="279">
        <v>0</v>
      </c>
      <c r="AV302" s="276">
        <v>0</v>
      </c>
      <c r="AW302" s="276">
        <v>0</v>
      </c>
      <c r="AX302" s="279">
        <v>0</v>
      </c>
      <c r="AY302" s="276">
        <v>0</v>
      </c>
      <c r="AZ302" s="276">
        <v>0</v>
      </c>
      <c r="BA302" s="278" t="s">
        <v>551</v>
      </c>
      <c r="BB302" s="276">
        <v>0</v>
      </c>
      <c r="BC302" s="279">
        <v>0</v>
      </c>
      <c r="BD302" s="276">
        <v>0</v>
      </c>
      <c r="BE302" s="276">
        <v>0</v>
      </c>
      <c r="BF302" s="279">
        <v>0</v>
      </c>
      <c r="BG302" s="276">
        <v>0</v>
      </c>
      <c r="BH302" s="276">
        <v>0</v>
      </c>
      <c r="BI302" s="278" t="s">
        <v>550</v>
      </c>
      <c r="BJ302" s="276">
        <v>0</v>
      </c>
      <c r="BK302" s="276">
        <v>0</v>
      </c>
      <c r="BL302" s="276">
        <v>0</v>
      </c>
      <c r="BM302" s="276">
        <v>0</v>
      </c>
      <c r="BN302" s="276">
        <v>0</v>
      </c>
      <c r="BO302" s="276">
        <v>0</v>
      </c>
      <c r="BP302" s="276">
        <v>0</v>
      </c>
    </row>
    <row r="303" spans="1:68" x14ac:dyDescent="0.35">
      <c r="A303" s="277" t="s">
        <v>563</v>
      </c>
      <c r="B303" s="277" t="s">
        <v>562</v>
      </c>
      <c r="C303" s="283" t="s">
        <v>584</v>
      </c>
      <c r="D303" s="277" t="s">
        <v>560</v>
      </c>
      <c r="F303" s="277" t="s">
        <v>583</v>
      </c>
      <c r="K303" s="277" t="s">
        <v>555</v>
      </c>
      <c r="L303" s="277" t="s">
        <v>557</v>
      </c>
      <c r="N303" s="277" t="s">
        <v>558</v>
      </c>
      <c r="O303" s="277" t="s">
        <v>555</v>
      </c>
      <c r="P303" s="277" t="s">
        <v>557</v>
      </c>
      <c r="Q303" s="277" t="s">
        <v>556</v>
      </c>
      <c r="R303" s="277" t="s">
        <v>555</v>
      </c>
      <c r="S303" s="276">
        <v>0</v>
      </c>
      <c r="T303" s="276">
        <v>0</v>
      </c>
      <c r="U303" s="276">
        <v>0</v>
      </c>
      <c r="V303" s="276">
        <v>0</v>
      </c>
      <c r="W303" s="276">
        <v>0</v>
      </c>
      <c r="X303" s="276">
        <v>0</v>
      </c>
      <c r="Y303" s="276">
        <v>0</v>
      </c>
      <c r="Z303" s="276">
        <v>0</v>
      </c>
      <c r="AA303" s="276">
        <v>0</v>
      </c>
      <c r="AB303" s="276">
        <v>0</v>
      </c>
      <c r="AC303" s="276"/>
      <c r="AD303" s="276">
        <v>0</v>
      </c>
      <c r="AE303" s="276"/>
      <c r="AF303" s="276">
        <v>0</v>
      </c>
      <c r="AG303" s="276">
        <v>0</v>
      </c>
      <c r="AH303" s="283" t="s">
        <v>483</v>
      </c>
      <c r="AJ303" s="281" t="s">
        <v>553</v>
      </c>
      <c r="AK303" s="280" t="s">
        <v>552</v>
      </c>
      <c r="AL303" s="276">
        <v>1.1000000000000001</v>
      </c>
      <c r="AM303" s="279">
        <v>0</v>
      </c>
      <c r="AN303" s="276">
        <v>0</v>
      </c>
      <c r="AO303" s="276">
        <v>1.1000000000000001</v>
      </c>
      <c r="AP303" s="279">
        <v>0</v>
      </c>
      <c r="AQ303" s="276">
        <v>0</v>
      </c>
      <c r="AR303" s="276">
        <v>0</v>
      </c>
      <c r="AS303" s="271">
        <v>2</v>
      </c>
      <c r="AT303" s="276">
        <v>0</v>
      </c>
      <c r="AU303" s="279">
        <v>0</v>
      </c>
      <c r="AV303" s="276">
        <v>0</v>
      </c>
      <c r="AW303" s="276">
        <v>0</v>
      </c>
      <c r="AX303" s="279">
        <v>0</v>
      </c>
      <c r="AY303" s="276">
        <v>0</v>
      </c>
      <c r="AZ303" s="276">
        <v>0</v>
      </c>
      <c r="BA303" s="278" t="s">
        <v>551</v>
      </c>
      <c r="BB303" s="276">
        <v>0</v>
      </c>
      <c r="BC303" s="279">
        <v>0</v>
      </c>
      <c r="BD303" s="276">
        <v>0</v>
      </c>
      <c r="BE303" s="276">
        <v>0</v>
      </c>
      <c r="BF303" s="279">
        <v>0</v>
      </c>
      <c r="BG303" s="276">
        <v>0</v>
      </c>
      <c r="BH303" s="276">
        <v>0</v>
      </c>
      <c r="BI303" s="278" t="s">
        <v>550</v>
      </c>
      <c r="BJ303" s="276">
        <v>0</v>
      </c>
      <c r="BK303" s="276">
        <v>0</v>
      </c>
      <c r="BL303" s="276">
        <v>0</v>
      </c>
      <c r="BM303" s="276">
        <v>0</v>
      </c>
      <c r="BN303" s="276">
        <v>0</v>
      </c>
      <c r="BO303" s="276">
        <v>0</v>
      </c>
      <c r="BP303" s="276">
        <v>0</v>
      </c>
    </row>
    <row r="304" spans="1:68" x14ac:dyDescent="0.35">
      <c r="A304" s="277" t="s">
        <v>563</v>
      </c>
      <c r="B304" s="277" t="s">
        <v>562</v>
      </c>
      <c r="C304" s="283" t="s">
        <v>582</v>
      </c>
      <c r="D304" s="277" t="s">
        <v>560</v>
      </c>
      <c r="F304" s="277" t="s">
        <v>581</v>
      </c>
      <c r="K304" s="277" t="s">
        <v>555</v>
      </c>
      <c r="L304" s="277" t="s">
        <v>557</v>
      </c>
      <c r="N304" s="277" t="s">
        <v>558</v>
      </c>
      <c r="O304" s="277" t="s">
        <v>555</v>
      </c>
      <c r="P304" s="277" t="s">
        <v>557</v>
      </c>
      <c r="Q304" s="277" t="s">
        <v>556</v>
      </c>
      <c r="R304" s="277" t="s">
        <v>555</v>
      </c>
      <c r="S304" s="276">
        <v>0</v>
      </c>
      <c r="T304" s="276">
        <v>0</v>
      </c>
      <c r="U304" s="276">
        <v>0</v>
      </c>
      <c r="V304" s="276">
        <v>0</v>
      </c>
      <c r="W304" s="276">
        <v>0</v>
      </c>
      <c r="X304" s="276">
        <v>0</v>
      </c>
      <c r="Y304" s="276">
        <v>0</v>
      </c>
      <c r="Z304" s="276">
        <v>0</v>
      </c>
      <c r="AA304" s="276">
        <v>0</v>
      </c>
      <c r="AB304" s="276">
        <v>0</v>
      </c>
      <c r="AC304" s="276"/>
      <c r="AD304" s="276">
        <v>0</v>
      </c>
      <c r="AE304" s="276"/>
      <c r="AF304" s="276">
        <v>0</v>
      </c>
      <c r="AG304" s="276">
        <v>0</v>
      </c>
      <c r="AH304" s="283" t="s">
        <v>86</v>
      </c>
      <c r="AI304" s="282" t="s">
        <v>580</v>
      </c>
      <c r="AJ304" s="281" t="s">
        <v>553</v>
      </c>
      <c r="AK304" s="280" t="s">
        <v>552</v>
      </c>
      <c r="AL304" s="276">
        <v>1.02</v>
      </c>
      <c r="AM304" s="279">
        <v>0</v>
      </c>
      <c r="AN304" s="276">
        <v>0</v>
      </c>
      <c r="AO304" s="276">
        <v>1.02</v>
      </c>
      <c r="AP304" s="279">
        <v>0</v>
      </c>
      <c r="AQ304" s="276">
        <v>0</v>
      </c>
      <c r="AR304" s="276">
        <v>0</v>
      </c>
      <c r="AS304" s="271">
        <v>2</v>
      </c>
      <c r="AT304" s="276">
        <v>0</v>
      </c>
      <c r="AU304" s="279">
        <v>0</v>
      </c>
      <c r="AV304" s="276">
        <v>0</v>
      </c>
      <c r="AW304" s="276">
        <v>0</v>
      </c>
      <c r="AX304" s="279">
        <v>0</v>
      </c>
      <c r="AY304" s="276">
        <v>0</v>
      </c>
      <c r="AZ304" s="276">
        <v>0</v>
      </c>
      <c r="BA304" s="278" t="s">
        <v>551</v>
      </c>
      <c r="BB304" s="276">
        <v>0</v>
      </c>
      <c r="BC304" s="279">
        <v>0</v>
      </c>
      <c r="BD304" s="276">
        <v>0</v>
      </c>
      <c r="BE304" s="276">
        <v>0</v>
      </c>
      <c r="BF304" s="279">
        <v>0</v>
      </c>
      <c r="BG304" s="276">
        <v>0</v>
      </c>
      <c r="BH304" s="276">
        <v>0</v>
      </c>
      <c r="BI304" s="278" t="s">
        <v>550</v>
      </c>
      <c r="BJ304" s="276">
        <v>0</v>
      </c>
      <c r="BK304" s="276">
        <v>0</v>
      </c>
      <c r="BL304" s="276">
        <v>0</v>
      </c>
      <c r="BM304" s="276">
        <v>0</v>
      </c>
      <c r="BN304" s="276">
        <v>0</v>
      </c>
      <c r="BO304" s="276">
        <v>0</v>
      </c>
      <c r="BP304" s="276">
        <v>0</v>
      </c>
    </row>
    <row r="305" spans="1:68" x14ac:dyDescent="0.35">
      <c r="A305" s="277" t="s">
        <v>563</v>
      </c>
      <c r="B305" s="277" t="s">
        <v>562</v>
      </c>
      <c r="C305" s="283" t="s">
        <v>579</v>
      </c>
      <c r="D305" s="277" t="s">
        <v>560</v>
      </c>
      <c r="F305" s="277" t="s">
        <v>578</v>
      </c>
      <c r="K305" s="277" t="s">
        <v>555</v>
      </c>
      <c r="L305" s="277" t="s">
        <v>557</v>
      </c>
      <c r="N305" s="277" t="s">
        <v>558</v>
      </c>
      <c r="O305" s="277" t="s">
        <v>555</v>
      </c>
      <c r="P305" s="277" t="s">
        <v>557</v>
      </c>
      <c r="Q305" s="277" t="s">
        <v>556</v>
      </c>
      <c r="R305" s="277" t="s">
        <v>555</v>
      </c>
      <c r="S305" s="276">
        <v>0</v>
      </c>
      <c r="T305" s="276">
        <v>0</v>
      </c>
      <c r="U305" s="276">
        <v>0</v>
      </c>
      <c r="V305" s="276">
        <v>0</v>
      </c>
      <c r="W305" s="276">
        <v>0</v>
      </c>
      <c r="X305" s="276">
        <v>0</v>
      </c>
      <c r="Y305" s="276">
        <v>0</v>
      </c>
      <c r="Z305" s="276">
        <v>0</v>
      </c>
      <c r="AA305" s="276">
        <v>0</v>
      </c>
      <c r="AB305" s="276">
        <v>0</v>
      </c>
      <c r="AC305" s="276"/>
      <c r="AD305" s="276">
        <v>0</v>
      </c>
      <c r="AE305" s="276"/>
      <c r="AF305" s="276">
        <v>0</v>
      </c>
      <c r="AG305" s="276">
        <v>0</v>
      </c>
      <c r="AH305" s="283" t="s">
        <v>483</v>
      </c>
      <c r="AJ305" s="281" t="s">
        <v>553</v>
      </c>
      <c r="AK305" s="280" t="s">
        <v>552</v>
      </c>
      <c r="AL305" s="276">
        <v>0</v>
      </c>
      <c r="AM305" s="279">
        <v>0</v>
      </c>
      <c r="AN305" s="276">
        <v>0</v>
      </c>
      <c r="AO305" s="276">
        <v>0</v>
      </c>
      <c r="AP305" s="279">
        <v>0</v>
      </c>
      <c r="AQ305" s="276">
        <v>0</v>
      </c>
      <c r="AR305" s="276">
        <v>0</v>
      </c>
      <c r="AS305" s="271">
        <v>2</v>
      </c>
      <c r="AT305" s="276">
        <v>0</v>
      </c>
      <c r="AU305" s="279">
        <v>0</v>
      </c>
      <c r="AV305" s="276">
        <v>0</v>
      </c>
      <c r="AW305" s="276">
        <v>0</v>
      </c>
      <c r="AX305" s="279">
        <v>0</v>
      </c>
      <c r="AY305" s="276">
        <v>0</v>
      </c>
      <c r="AZ305" s="276">
        <v>0</v>
      </c>
      <c r="BA305" s="278" t="s">
        <v>551</v>
      </c>
      <c r="BB305" s="276">
        <v>0</v>
      </c>
      <c r="BC305" s="279">
        <v>0</v>
      </c>
      <c r="BD305" s="276">
        <v>0</v>
      </c>
      <c r="BE305" s="276">
        <v>0</v>
      </c>
      <c r="BF305" s="279">
        <v>0</v>
      </c>
      <c r="BG305" s="276">
        <v>0</v>
      </c>
      <c r="BH305" s="276">
        <v>0</v>
      </c>
      <c r="BI305" s="278" t="s">
        <v>550</v>
      </c>
      <c r="BJ305" s="276">
        <v>0</v>
      </c>
      <c r="BK305" s="276">
        <v>0</v>
      </c>
      <c r="BL305" s="276">
        <v>0</v>
      </c>
      <c r="BM305" s="276">
        <v>0</v>
      </c>
      <c r="BN305" s="276">
        <v>0</v>
      </c>
      <c r="BO305" s="276">
        <v>0</v>
      </c>
      <c r="BP305" s="276">
        <v>0</v>
      </c>
    </row>
    <row r="306" spans="1:68" x14ac:dyDescent="0.35">
      <c r="A306" s="277" t="s">
        <v>563</v>
      </c>
      <c r="B306" s="277" t="s">
        <v>562</v>
      </c>
      <c r="C306" s="283" t="s">
        <v>572</v>
      </c>
      <c r="D306" s="277" t="s">
        <v>560</v>
      </c>
      <c r="F306" s="277" t="s">
        <v>577</v>
      </c>
      <c r="K306" s="277" t="s">
        <v>555</v>
      </c>
      <c r="L306" s="277" t="s">
        <v>557</v>
      </c>
      <c r="N306" s="277" t="s">
        <v>558</v>
      </c>
      <c r="O306" s="277" t="s">
        <v>555</v>
      </c>
      <c r="P306" s="277" t="s">
        <v>557</v>
      </c>
      <c r="Q306" s="277" t="s">
        <v>556</v>
      </c>
      <c r="R306" s="277" t="s">
        <v>555</v>
      </c>
      <c r="S306" s="276">
        <v>0</v>
      </c>
      <c r="T306" s="276">
        <v>0</v>
      </c>
      <c r="U306" s="276">
        <v>0</v>
      </c>
      <c r="V306" s="276">
        <v>0</v>
      </c>
      <c r="W306" s="276">
        <v>0</v>
      </c>
      <c r="X306" s="276">
        <v>0</v>
      </c>
      <c r="Y306" s="276">
        <v>0</v>
      </c>
      <c r="Z306" s="276">
        <v>0</v>
      </c>
      <c r="AA306" s="276">
        <v>0</v>
      </c>
      <c r="AB306" s="276">
        <v>0</v>
      </c>
      <c r="AC306" s="276"/>
      <c r="AD306" s="276">
        <v>0</v>
      </c>
      <c r="AE306" s="276"/>
      <c r="AF306" s="276">
        <v>0</v>
      </c>
      <c r="AG306" s="276">
        <v>0</v>
      </c>
      <c r="AH306" s="283" t="s">
        <v>483</v>
      </c>
      <c r="AJ306" s="281" t="s">
        <v>553</v>
      </c>
      <c r="AK306" s="280" t="s">
        <v>552</v>
      </c>
      <c r="AL306" s="276">
        <v>1.8</v>
      </c>
      <c r="AM306" s="279">
        <v>0</v>
      </c>
      <c r="AN306" s="276">
        <v>0</v>
      </c>
      <c r="AO306" s="276">
        <v>1.8</v>
      </c>
      <c r="AP306" s="279">
        <v>0</v>
      </c>
      <c r="AQ306" s="276">
        <v>0</v>
      </c>
      <c r="AR306" s="276">
        <v>0</v>
      </c>
      <c r="AS306" s="271">
        <v>2</v>
      </c>
      <c r="AT306" s="276">
        <v>0</v>
      </c>
      <c r="AU306" s="279">
        <v>0</v>
      </c>
      <c r="AV306" s="276">
        <v>0</v>
      </c>
      <c r="AW306" s="276">
        <v>0</v>
      </c>
      <c r="AX306" s="279">
        <v>0</v>
      </c>
      <c r="AY306" s="276">
        <v>0</v>
      </c>
      <c r="AZ306" s="276">
        <v>0</v>
      </c>
      <c r="BA306" s="278" t="s">
        <v>551</v>
      </c>
      <c r="BB306" s="276">
        <v>0</v>
      </c>
      <c r="BC306" s="279">
        <v>0</v>
      </c>
      <c r="BD306" s="276">
        <v>0</v>
      </c>
      <c r="BE306" s="276">
        <v>0</v>
      </c>
      <c r="BF306" s="279">
        <v>0</v>
      </c>
      <c r="BG306" s="276">
        <v>0</v>
      </c>
      <c r="BH306" s="276">
        <v>0</v>
      </c>
      <c r="BI306" s="278" t="s">
        <v>550</v>
      </c>
      <c r="BJ306" s="276">
        <v>0</v>
      </c>
      <c r="BK306" s="276">
        <v>0</v>
      </c>
      <c r="BL306" s="276">
        <v>0</v>
      </c>
      <c r="BM306" s="276">
        <v>0</v>
      </c>
      <c r="BN306" s="276">
        <v>0</v>
      </c>
      <c r="BO306" s="276">
        <v>0</v>
      </c>
      <c r="BP306" s="276">
        <v>0</v>
      </c>
    </row>
    <row r="307" spans="1:68" x14ac:dyDescent="0.35">
      <c r="A307" s="277" t="s">
        <v>563</v>
      </c>
      <c r="B307" s="277" t="s">
        <v>562</v>
      </c>
      <c r="C307" s="283" t="s">
        <v>576</v>
      </c>
      <c r="D307" s="277" t="s">
        <v>560</v>
      </c>
      <c r="F307" s="277" t="s">
        <v>575</v>
      </c>
      <c r="K307" s="277" t="s">
        <v>555</v>
      </c>
      <c r="L307" s="277" t="s">
        <v>557</v>
      </c>
      <c r="N307" s="277" t="s">
        <v>558</v>
      </c>
      <c r="O307" s="277" t="s">
        <v>555</v>
      </c>
      <c r="P307" s="277" t="s">
        <v>557</v>
      </c>
      <c r="Q307" s="277" t="s">
        <v>556</v>
      </c>
      <c r="R307" s="277" t="s">
        <v>555</v>
      </c>
      <c r="S307" s="276">
        <v>0</v>
      </c>
      <c r="T307" s="276">
        <v>0</v>
      </c>
      <c r="U307" s="276">
        <v>0</v>
      </c>
      <c r="V307" s="276">
        <v>0</v>
      </c>
      <c r="W307" s="276">
        <v>0</v>
      </c>
      <c r="X307" s="276">
        <v>0</v>
      </c>
      <c r="Y307" s="276">
        <v>0</v>
      </c>
      <c r="Z307" s="276">
        <v>0</v>
      </c>
      <c r="AA307" s="276">
        <v>0</v>
      </c>
      <c r="AB307" s="276">
        <v>0</v>
      </c>
      <c r="AC307" s="276"/>
      <c r="AD307" s="276">
        <v>0</v>
      </c>
      <c r="AE307" s="276"/>
      <c r="AF307" s="276">
        <v>0</v>
      </c>
      <c r="AG307" s="276">
        <v>0</v>
      </c>
      <c r="AH307" s="283" t="s">
        <v>86</v>
      </c>
      <c r="AI307" s="282" t="s">
        <v>569</v>
      </c>
      <c r="AJ307" s="281" t="s">
        <v>553</v>
      </c>
      <c r="AK307" s="280" t="s">
        <v>552</v>
      </c>
      <c r="AL307" s="276">
        <v>1.65</v>
      </c>
      <c r="AM307" s="279">
        <v>0</v>
      </c>
      <c r="AN307" s="276">
        <v>0</v>
      </c>
      <c r="AO307" s="276">
        <v>1.65</v>
      </c>
      <c r="AP307" s="279">
        <v>0</v>
      </c>
      <c r="AQ307" s="276">
        <v>0</v>
      </c>
      <c r="AR307" s="276">
        <v>0</v>
      </c>
      <c r="AS307" s="271">
        <v>2</v>
      </c>
      <c r="AT307" s="276">
        <v>0</v>
      </c>
      <c r="AU307" s="279">
        <v>0</v>
      </c>
      <c r="AV307" s="276">
        <v>0</v>
      </c>
      <c r="AW307" s="276">
        <v>0</v>
      </c>
      <c r="AX307" s="279">
        <v>0</v>
      </c>
      <c r="AY307" s="276">
        <v>0</v>
      </c>
      <c r="AZ307" s="276">
        <v>0</v>
      </c>
      <c r="BA307" s="278" t="s">
        <v>551</v>
      </c>
      <c r="BB307" s="276">
        <v>0</v>
      </c>
      <c r="BC307" s="279">
        <v>0</v>
      </c>
      <c r="BD307" s="276">
        <v>0</v>
      </c>
      <c r="BE307" s="276">
        <v>0</v>
      </c>
      <c r="BF307" s="279">
        <v>0</v>
      </c>
      <c r="BG307" s="276">
        <v>0</v>
      </c>
      <c r="BH307" s="276">
        <v>0</v>
      </c>
      <c r="BI307" s="278" t="s">
        <v>550</v>
      </c>
      <c r="BJ307" s="276">
        <v>0</v>
      </c>
      <c r="BK307" s="276">
        <v>0</v>
      </c>
      <c r="BL307" s="276">
        <v>0</v>
      </c>
      <c r="BM307" s="276">
        <v>0</v>
      </c>
      <c r="BN307" s="276">
        <v>0</v>
      </c>
      <c r="BO307" s="276">
        <v>0</v>
      </c>
      <c r="BP307" s="276">
        <v>0</v>
      </c>
    </row>
    <row r="308" spans="1:68" x14ac:dyDescent="0.35">
      <c r="A308" s="277" t="s">
        <v>563</v>
      </c>
      <c r="B308" s="277" t="s">
        <v>562</v>
      </c>
      <c r="C308" s="283" t="s">
        <v>574</v>
      </c>
      <c r="D308" s="277" t="s">
        <v>560</v>
      </c>
      <c r="F308" s="277" t="s">
        <v>573</v>
      </c>
      <c r="K308" s="277" t="s">
        <v>555</v>
      </c>
      <c r="L308" s="277" t="s">
        <v>557</v>
      </c>
      <c r="N308" s="277" t="s">
        <v>558</v>
      </c>
      <c r="O308" s="277" t="s">
        <v>555</v>
      </c>
      <c r="P308" s="277" t="s">
        <v>557</v>
      </c>
      <c r="Q308" s="277" t="s">
        <v>556</v>
      </c>
      <c r="R308" s="277" t="s">
        <v>555</v>
      </c>
      <c r="S308" s="276">
        <v>0</v>
      </c>
      <c r="T308" s="276">
        <v>0</v>
      </c>
      <c r="U308" s="276">
        <v>0</v>
      </c>
      <c r="V308" s="276">
        <v>0</v>
      </c>
      <c r="W308" s="276">
        <v>0</v>
      </c>
      <c r="X308" s="276">
        <v>0</v>
      </c>
      <c r="Y308" s="276">
        <v>0</v>
      </c>
      <c r="Z308" s="276">
        <v>0</v>
      </c>
      <c r="AA308" s="276">
        <v>0</v>
      </c>
      <c r="AB308" s="276">
        <v>0</v>
      </c>
      <c r="AC308" s="276"/>
      <c r="AD308" s="276">
        <v>0</v>
      </c>
      <c r="AE308" s="276"/>
      <c r="AF308" s="276">
        <v>0</v>
      </c>
      <c r="AG308" s="276">
        <v>0</v>
      </c>
      <c r="AH308" s="283" t="s">
        <v>86</v>
      </c>
      <c r="AI308" s="282" t="s">
        <v>572</v>
      </c>
      <c r="AJ308" s="281" t="s">
        <v>553</v>
      </c>
      <c r="AK308" s="280" t="s">
        <v>552</v>
      </c>
      <c r="AL308" s="276">
        <v>2.3199999999999998</v>
      </c>
      <c r="AM308" s="279">
        <v>0</v>
      </c>
      <c r="AN308" s="276">
        <v>0</v>
      </c>
      <c r="AO308" s="276">
        <v>2.3199999999999998</v>
      </c>
      <c r="AP308" s="279">
        <v>0</v>
      </c>
      <c r="AQ308" s="276">
        <v>0</v>
      </c>
      <c r="AR308" s="276">
        <v>0</v>
      </c>
      <c r="AS308" s="271">
        <v>2</v>
      </c>
      <c r="AT308" s="276">
        <v>0</v>
      </c>
      <c r="AU308" s="279">
        <v>0</v>
      </c>
      <c r="AV308" s="276">
        <v>0</v>
      </c>
      <c r="AW308" s="276">
        <v>0</v>
      </c>
      <c r="AX308" s="279">
        <v>0</v>
      </c>
      <c r="AY308" s="276">
        <v>0</v>
      </c>
      <c r="AZ308" s="276">
        <v>0</v>
      </c>
      <c r="BA308" s="278" t="s">
        <v>551</v>
      </c>
      <c r="BB308" s="276">
        <v>0</v>
      </c>
      <c r="BC308" s="279">
        <v>0</v>
      </c>
      <c r="BD308" s="276">
        <v>0</v>
      </c>
      <c r="BE308" s="276">
        <v>0</v>
      </c>
      <c r="BF308" s="279">
        <v>0</v>
      </c>
      <c r="BG308" s="276">
        <v>0</v>
      </c>
      <c r="BH308" s="276">
        <v>0</v>
      </c>
      <c r="BI308" s="278" t="s">
        <v>550</v>
      </c>
      <c r="BJ308" s="276">
        <v>0</v>
      </c>
      <c r="BK308" s="276">
        <v>0</v>
      </c>
      <c r="BL308" s="276">
        <v>0</v>
      </c>
      <c r="BM308" s="276">
        <v>0</v>
      </c>
      <c r="BN308" s="276">
        <v>0</v>
      </c>
      <c r="BO308" s="276">
        <v>0</v>
      </c>
      <c r="BP308" s="276">
        <v>0</v>
      </c>
    </row>
    <row r="309" spans="1:68" x14ac:dyDescent="0.35">
      <c r="A309" s="277" t="s">
        <v>563</v>
      </c>
      <c r="B309" s="277" t="s">
        <v>562</v>
      </c>
      <c r="C309" s="283" t="s">
        <v>571</v>
      </c>
      <c r="D309" s="277" t="s">
        <v>560</v>
      </c>
      <c r="F309" s="277" t="s">
        <v>570</v>
      </c>
      <c r="K309" s="277" t="s">
        <v>555</v>
      </c>
      <c r="L309" s="277" t="s">
        <v>557</v>
      </c>
      <c r="N309" s="277" t="s">
        <v>558</v>
      </c>
      <c r="O309" s="277" t="s">
        <v>555</v>
      </c>
      <c r="P309" s="277" t="s">
        <v>557</v>
      </c>
      <c r="Q309" s="277" t="s">
        <v>556</v>
      </c>
      <c r="R309" s="277" t="s">
        <v>555</v>
      </c>
      <c r="S309" s="276">
        <v>0</v>
      </c>
      <c r="T309" s="276">
        <v>0</v>
      </c>
      <c r="U309" s="276">
        <v>0</v>
      </c>
      <c r="V309" s="276">
        <v>0</v>
      </c>
      <c r="W309" s="276">
        <v>0</v>
      </c>
      <c r="X309" s="276">
        <v>0</v>
      </c>
      <c r="Y309" s="276">
        <v>0</v>
      </c>
      <c r="Z309" s="276">
        <v>0</v>
      </c>
      <c r="AA309" s="276">
        <v>0</v>
      </c>
      <c r="AB309" s="276">
        <v>0</v>
      </c>
      <c r="AC309" s="276"/>
      <c r="AD309" s="276">
        <v>0</v>
      </c>
      <c r="AE309" s="276"/>
      <c r="AF309" s="276">
        <v>0</v>
      </c>
      <c r="AG309" s="276">
        <v>0</v>
      </c>
      <c r="AH309" s="283" t="s">
        <v>86</v>
      </c>
      <c r="AI309" s="282" t="s">
        <v>567</v>
      </c>
      <c r="AJ309" s="281" t="s">
        <v>553</v>
      </c>
      <c r="AK309" s="280" t="s">
        <v>552</v>
      </c>
      <c r="AL309" s="276">
        <v>1.72</v>
      </c>
      <c r="AM309" s="279">
        <v>0</v>
      </c>
      <c r="AN309" s="276">
        <v>0</v>
      </c>
      <c r="AO309" s="276">
        <v>1.72</v>
      </c>
      <c r="AP309" s="279">
        <v>0</v>
      </c>
      <c r="AQ309" s="276">
        <v>0</v>
      </c>
      <c r="AR309" s="276">
        <v>0</v>
      </c>
      <c r="AS309" s="271">
        <v>2</v>
      </c>
      <c r="AT309" s="276">
        <v>0</v>
      </c>
      <c r="AU309" s="279">
        <v>0</v>
      </c>
      <c r="AV309" s="276">
        <v>0</v>
      </c>
      <c r="AW309" s="276">
        <v>0</v>
      </c>
      <c r="AX309" s="279">
        <v>0</v>
      </c>
      <c r="AY309" s="276">
        <v>0</v>
      </c>
      <c r="AZ309" s="276">
        <v>0</v>
      </c>
      <c r="BA309" s="278" t="s">
        <v>551</v>
      </c>
      <c r="BB309" s="276">
        <v>0</v>
      </c>
      <c r="BC309" s="279">
        <v>0</v>
      </c>
      <c r="BD309" s="276">
        <v>0</v>
      </c>
      <c r="BE309" s="276">
        <v>0</v>
      </c>
      <c r="BF309" s="279">
        <v>0</v>
      </c>
      <c r="BG309" s="276">
        <v>0</v>
      </c>
      <c r="BH309" s="276">
        <v>0</v>
      </c>
      <c r="BI309" s="278" t="s">
        <v>550</v>
      </c>
      <c r="BJ309" s="276">
        <v>0</v>
      </c>
      <c r="BK309" s="276">
        <v>0</v>
      </c>
      <c r="BL309" s="276">
        <v>0</v>
      </c>
      <c r="BM309" s="276">
        <v>0</v>
      </c>
      <c r="BN309" s="276">
        <v>0</v>
      </c>
      <c r="BO309" s="276">
        <v>0</v>
      </c>
      <c r="BP309" s="276">
        <v>0</v>
      </c>
    </row>
    <row r="310" spans="1:68" x14ac:dyDescent="0.35">
      <c r="A310" s="277" t="s">
        <v>563</v>
      </c>
      <c r="B310" s="277" t="s">
        <v>562</v>
      </c>
      <c r="C310" s="283" t="s">
        <v>569</v>
      </c>
      <c r="D310" s="277" t="s">
        <v>560</v>
      </c>
      <c r="F310" s="277" t="s">
        <v>568</v>
      </c>
      <c r="K310" s="277" t="s">
        <v>555</v>
      </c>
      <c r="L310" s="277" t="s">
        <v>557</v>
      </c>
      <c r="N310" s="277" t="s">
        <v>558</v>
      </c>
      <c r="O310" s="277" t="s">
        <v>555</v>
      </c>
      <c r="P310" s="277" t="s">
        <v>557</v>
      </c>
      <c r="Q310" s="277" t="s">
        <v>556</v>
      </c>
      <c r="R310" s="277" t="s">
        <v>555</v>
      </c>
      <c r="S310" s="276">
        <v>0</v>
      </c>
      <c r="T310" s="276">
        <v>0</v>
      </c>
      <c r="U310" s="276">
        <v>0</v>
      </c>
      <c r="V310" s="276">
        <v>0</v>
      </c>
      <c r="W310" s="276">
        <v>0</v>
      </c>
      <c r="X310" s="276">
        <v>0</v>
      </c>
      <c r="Y310" s="276">
        <v>0</v>
      </c>
      <c r="Z310" s="276">
        <v>0</v>
      </c>
      <c r="AA310" s="276">
        <v>0</v>
      </c>
      <c r="AB310" s="276">
        <v>0</v>
      </c>
      <c r="AC310" s="276"/>
      <c r="AD310" s="276">
        <v>0</v>
      </c>
      <c r="AE310" s="276"/>
      <c r="AF310" s="276">
        <v>0</v>
      </c>
      <c r="AG310" s="276">
        <v>0</v>
      </c>
      <c r="AH310" s="283" t="s">
        <v>483</v>
      </c>
      <c r="AJ310" s="281" t="s">
        <v>553</v>
      </c>
      <c r="AK310" s="280" t="s">
        <v>552</v>
      </c>
      <c r="AL310" s="276">
        <v>1.3</v>
      </c>
      <c r="AM310" s="279">
        <v>0</v>
      </c>
      <c r="AN310" s="276">
        <v>0</v>
      </c>
      <c r="AO310" s="276">
        <v>1.3</v>
      </c>
      <c r="AP310" s="279">
        <v>0</v>
      </c>
      <c r="AQ310" s="276">
        <v>0</v>
      </c>
      <c r="AR310" s="276">
        <v>0</v>
      </c>
      <c r="AS310" s="271">
        <v>2</v>
      </c>
      <c r="AT310" s="276">
        <v>0</v>
      </c>
      <c r="AU310" s="279">
        <v>0</v>
      </c>
      <c r="AV310" s="276">
        <v>0</v>
      </c>
      <c r="AW310" s="276">
        <v>0</v>
      </c>
      <c r="AX310" s="279">
        <v>0</v>
      </c>
      <c r="AY310" s="276">
        <v>0</v>
      </c>
      <c r="AZ310" s="276">
        <v>0</v>
      </c>
      <c r="BA310" s="278" t="s">
        <v>551</v>
      </c>
      <c r="BB310" s="276">
        <v>0</v>
      </c>
      <c r="BC310" s="279">
        <v>0</v>
      </c>
      <c r="BD310" s="276">
        <v>0</v>
      </c>
      <c r="BE310" s="276">
        <v>0</v>
      </c>
      <c r="BF310" s="279">
        <v>0</v>
      </c>
      <c r="BG310" s="276">
        <v>0</v>
      </c>
      <c r="BH310" s="276">
        <v>0</v>
      </c>
      <c r="BI310" s="278" t="s">
        <v>550</v>
      </c>
      <c r="BJ310" s="276">
        <v>0</v>
      </c>
      <c r="BK310" s="276">
        <v>0</v>
      </c>
      <c r="BL310" s="276">
        <v>0</v>
      </c>
      <c r="BM310" s="276">
        <v>0</v>
      </c>
      <c r="BN310" s="276">
        <v>0</v>
      </c>
      <c r="BO310" s="276">
        <v>0</v>
      </c>
      <c r="BP310" s="276">
        <v>0</v>
      </c>
    </row>
    <row r="311" spans="1:68" x14ac:dyDescent="0.35">
      <c r="A311" s="277" t="s">
        <v>563</v>
      </c>
      <c r="B311" s="277" t="s">
        <v>562</v>
      </c>
      <c r="C311" s="283" t="s">
        <v>567</v>
      </c>
      <c r="D311" s="277" t="s">
        <v>560</v>
      </c>
      <c r="F311" s="277" t="s">
        <v>566</v>
      </c>
      <c r="K311" s="277" t="s">
        <v>555</v>
      </c>
      <c r="L311" s="277" t="s">
        <v>557</v>
      </c>
      <c r="N311" s="277" t="s">
        <v>558</v>
      </c>
      <c r="O311" s="277" t="s">
        <v>555</v>
      </c>
      <c r="P311" s="277" t="s">
        <v>557</v>
      </c>
      <c r="Q311" s="277" t="s">
        <v>556</v>
      </c>
      <c r="R311" s="277" t="s">
        <v>555</v>
      </c>
      <c r="S311" s="276">
        <v>0</v>
      </c>
      <c r="T311" s="276">
        <v>0</v>
      </c>
      <c r="U311" s="276">
        <v>0</v>
      </c>
      <c r="V311" s="276">
        <v>0</v>
      </c>
      <c r="W311" s="276">
        <v>0</v>
      </c>
      <c r="X311" s="276">
        <v>0</v>
      </c>
      <c r="Y311" s="276">
        <v>0</v>
      </c>
      <c r="Z311" s="276">
        <v>0</v>
      </c>
      <c r="AA311" s="276">
        <v>0</v>
      </c>
      <c r="AB311" s="276">
        <v>0</v>
      </c>
      <c r="AC311" s="276"/>
      <c r="AD311" s="276">
        <v>0</v>
      </c>
      <c r="AE311" s="276"/>
      <c r="AF311" s="276">
        <v>0</v>
      </c>
      <c r="AG311" s="276">
        <v>0</v>
      </c>
      <c r="AH311" s="283" t="s">
        <v>483</v>
      </c>
      <c r="AJ311" s="281" t="s">
        <v>553</v>
      </c>
      <c r="AK311" s="280" t="s">
        <v>552</v>
      </c>
      <c r="AL311" s="276">
        <v>1.25</v>
      </c>
      <c r="AM311" s="279">
        <v>0</v>
      </c>
      <c r="AN311" s="276">
        <v>0</v>
      </c>
      <c r="AO311" s="276">
        <v>1.25</v>
      </c>
      <c r="AP311" s="279">
        <v>0</v>
      </c>
      <c r="AQ311" s="276">
        <v>0</v>
      </c>
      <c r="AR311" s="276">
        <v>0</v>
      </c>
      <c r="AS311" s="271">
        <v>2</v>
      </c>
      <c r="AT311" s="276">
        <v>0</v>
      </c>
      <c r="AU311" s="279">
        <v>0</v>
      </c>
      <c r="AV311" s="276">
        <v>0</v>
      </c>
      <c r="AW311" s="276">
        <v>0</v>
      </c>
      <c r="AX311" s="279">
        <v>0</v>
      </c>
      <c r="AY311" s="276">
        <v>0</v>
      </c>
      <c r="AZ311" s="276">
        <v>0</v>
      </c>
      <c r="BA311" s="278" t="s">
        <v>551</v>
      </c>
      <c r="BB311" s="276">
        <v>0</v>
      </c>
      <c r="BC311" s="279">
        <v>0</v>
      </c>
      <c r="BD311" s="276">
        <v>0</v>
      </c>
      <c r="BE311" s="276">
        <v>0</v>
      </c>
      <c r="BF311" s="279">
        <v>0</v>
      </c>
      <c r="BG311" s="276">
        <v>0</v>
      </c>
      <c r="BH311" s="276">
        <v>0</v>
      </c>
      <c r="BI311" s="278" t="s">
        <v>550</v>
      </c>
      <c r="BJ311" s="276">
        <v>0</v>
      </c>
      <c r="BK311" s="276">
        <v>0</v>
      </c>
      <c r="BL311" s="276">
        <v>0</v>
      </c>
      <c r="BM311" s="276">
        <v>0</v>
      </c>
      <c r="BN311" s="276">
        <v>0</v>
      </c>
      <c r="BO311" s="276">
        <v>0</v>
      </c>
      <c r="BP311" s="276">
        <v>0</v>
      </c>
    </row>
    <row r="312" spans="1:68" x14ac:dyDescent="0.35">
      <c r="A312" s="277" t="s">
        <v>563</v>
      </c>
      <c r="B312" s="277" t="s">
        <v>562</v>
      </c>
      <c r="C312" s="283" t="s">
        <v>565</v>
      </c>
      <c r="D312" s="277" t="s">
        <v>560</v>
      </c>
      <c r="F312" s="277" t="s">
        <v>564</v>
      </c>
      <c r="K312" s="277" t="s">
        <v>555</v>
      </c>
      <c r="L312" s="277" t="s">
        <v>557</v>
      </c>
      <c r="N312" s="277" t="s">
        <v>558</v>
      </c>
      <c r="O312" s="277" t="s">
        <v>555</v>
      </c>
      <c r="P312" s="277" t="s">
        <v>557</v>
      </c>
      <c r="Q312" s="277" t="s">
        <v>556</v>
      </c>
      <c r="R312" s="277" t="s">
        <v>555</v>
      </c>
      <c r="S312" s="276">
        <v>0</v>
      </c>
      <c r="T312" s="276">
        <v>0</v>
      </c>
      <c r="U312" s="276">
        <v>0</v>
      </c>
      <c r="V312" s="276">
        <v>0</v>
      </c>
      <c r="W312" s="276">
        <v>0</v>
      </c>
      <c r="X312" s="276">
        <v>0</v>
      </c>
      <c r="Y312" s="276">
        <v>0</v>
      </c>
      <c r="Z312" s="276">
        <v>0</v>
      </c>
      <c r="AA312" s="276">
        <v>0</v>
      </c>
      <c r="AB312" s="276">
        <v>0</v>
      </c>
      <c r="AC312" s="276"/>
      <c r="AD312" s="276">
        <v>0</v>
      </c>
      <c r="AE312" s="276"/>
      <c r="AF312" s="276">
        <v>0</v>
      </c>
      <c r="AG312" s="276">
        <v>0</v>
      </c>
      <c r="AH312" s="283" t="s">
        <v>483</v>
      </c>
      <c r="AJ312" s="281" t="s">
        <v>553</v>
      </c>
      <c r="AK312" s="280" t="s">
        <v>552</v>
      </c>
      <c r="AL312" s="276">
        <v>1.1499999999999999</v>
      </c>
      <c r="AM312" s="279">
        <v>0</v>
      </c>
      <c r="AN312" s="276">
        <v>0</v>
      </c>
      <c r="AO312" s="276">
        <v>1.1499999999999999</v>
      </c>
      <c r="AP312" s="279">
        <v>0</v>
      </c>
      <c r="AQ312" s="276">
        <v>0</v>
      </c>
      <c r="AR312" s="276">
        <v>0</v>
      </c>
      <c r="AS312" s="271">
        <v>2</v>
      </c>
      <c r="AT312" s="276">
        <v>0</v>
      </c>
      <c r="AU312" s="279">
        <v>0</v>
      </c>
      <c r="AV312" s="276">
        <v>0</v>
      </c>
      <c r="AW312" s="276">
        <v>0</v>
      </c>
      <c r="AX312" s="279">
        <v>0</v>
      </c>
      <c r="AY312" s="276">
        <v>0</v>
      </c>
      <c r="AZ312" s="276">
        <v>0</v>
      </c>
      <c r="BA312" s="278" t="s">
        <v>551</v>
      </c>
      <c r="BB312" s="276">
        <v>0</v>
      </c>
      <c r="BC312" s="279">
        <v>0</v>
      </c>
      <c r="BD312" s="276">
        <v>0</v>
      </c>
      <c r="BE312" s="276">
        <v>0</v>
      </c>
      <c r="BF312" s="279">
        <v>0</v>
      </c>
      <c r="BG312" s="276">
        <v>0</v>
      </c>
      <c r="BH312" s="276">
        <v>0</v>
      </c>
      <c r="BI312" s="278" t="s">
        <v>550</v>
      </c>
      <c r="BJ312" s="276">
        <v>0</v>
      </c>
      <c r="BK312" s="276">
        <v>0</v>
      </c>
      <c r="BL312" s="276">
        <v>0</v>
      </c>
      <c r="BM312" s="276">
        <v>0</v>
      </c>
      <c r="BN312" s="276">
        <v>0</v>
      </c>
      <c r="BO312" s="276">
        <v>0</v>
      </c>
      <c r="BP312" s="276">
        <v>0</v>
      </c>
    </row>
    <row r="313" spans="1:68" x14ac:dyDescent="0.35">
      <c r="A313" s="277" t="s">
        <v>563</v>
      </c>
      <c r="B313" s="277" t="s">
        <v>562</v>
      </c>
      <c r="C313" s="283" t="s">
        <v>561</v>
      </c>
      <c r="D313" s="277" t="s">
        <v>560</v>
      </c>
      <c r="F313" s="277" t="s">
        <v>559</v>
      </c>
      <c r="K313" s="277" t="s">
        <v>555</v>
      </c>
      <c r="L313" s="277" t="s">
        <v>557</v>
      </c>
      <c r="N313" s="277" t="s">
        <v>558</v>
      </c>
      <c r="O313" s="277" t="s">
        <v>555</v>
      </c>
      <c r="P313" s="277" t="s">
        <v>557</v>
      </c>
      <c r="Q313" s="277" t="s">
        <v>556</v>
      </c>
      <c r="R313" s="277" t="s">
        <v>555</v>
      </c>
      <c r="S313" s="276">
        <v>0</v>
      </c>
      <c r="T313" s="276">
        <v>0</v>
      </c>
      <c r="U313" s="276">
        <v>0</v>
      </c>
      <c r="V313" s="276">
        <v>0</v>
      </c>
      <c r="W313" s="276">
        <v>0</v>
      </c>
      <c r="X313" s="276">
        <v>0</v>
      </c>
      <c r="Y313" s="276">
        <v>0</v>
      </c>
      <c r="Z313" s="276">
        <v>0</v>
      </c>
      <c r="AA313" s="276">
        <v>0</v>
      </c>
      <c r="AB313" s="276">
        <v>0</v>
      </c>
      <c r="AC313" s="276"/>
      <c r="AD313" s="276">
        <v>0</v>
      </c>
      <c r="AE313" s="276"/>
      <c r="AF313" s="276">
        <v>0</v>
      </c>
      <c r="AG313" s="276">
        <v>0</v>
      </c>
      <c r="AH313" s="283" t="s">
        <v>86</v>
      </c>
      <c r="AI313" s="282" t="s">
        <v>554</v>
      </c>
      <c r="AJ313" s="281" t="s">
        <v>553</v>
      </c>
      <c r="AK313" s="280" t="s">
        <v>552</v>
      </c>
      <c r="AL313" s="276">
        <v>0.64</v>
      </c>
      <c r="AM313" s="279">
        <v>0</v>
      </c>
      <c r="AN313" s="276">
        <v>0</v>
      </c>
      <c r="AO313" s="276">
        <v>0.64</v>
      </c>
      <c r="AP313" s="279">
        <v>0</v>
      </c>
      <c r="AQ313" s="276">
        <v>0</v>
      </c>
      <c r="AR313" s="276">
        <v>0</v>
      </c>
      <c r="AS313" s="271">
        <v>2</v>
      </c>
      <c r="AT313" s="276">
        <v>0</v>
      </c>
      <c r="AU313" s="279">
        <v>0</v>
      </c>
      <c r="AV313" s="276">
        <v>0</v>
      </c>
      <c r="AW313" s="276">
        <v>0</v>
      </c>
      <c r="AX313" s="279">
        <v>0</v>
      </c>
      <c r="AY313" s="276">
        <v>0</v>
      </c>
      <c r="AZ313" s="276">
        <v>0</v>
      </c>
      <c r="BA313" s="278" t="s">
        <v>551</v>
      </c>
      <c r="BB313" s="276">
        <v>0</v>
      </c>
      <c r="BC313" s="279">
        <v>0</v>
      </c>
      <c r="BD313" s="276">
        <v>0</v>
      </c>
      <c r="BE313" s="276">
        <v>0</v>
      </c>
      <c r="BF313" s="279">
        <v>0</v>
      </c>
      <c r="BG313" s="276">
        <v>0</v>
      </c>
      <c r="BH313" s="276">
        <v>0</v>
      </c>
      <c r="BI313" s="278" t="s">
        <v>550</v>
      </c>
      <c r="BJ313" s="276">
        <v>0</v>
      </c>
      <c r="BK313" s="276">
        <v>0</v>
      </c>
      <c r="BL313" s="276">
        <v>0</v>
      </c>
      <c r="BM313" s="276">
        <v>0</v>
      </c>
      <c r="BN313" s="276">
        <v>0</v>
      </c>
      <c r="BO313" s="276">
        <v>0</v>
      </c>
      <c r="BP313" s="276">
        <v>0</v>
      </c>
    </row>
  </sheetData>
  <autoFilter ref="A1:BP313" xr:uid="{00000000-0009-0000-0000-000009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
  <sheetViews>
    <sheetView workbookViewId="0">
      <selection activeCell="B6" sqref="B6"/>
    </sheetView>
  </sheetViews>
  <sheetFormatPr defaultColWidth="8.6328125" defaultRowHeight="12.5" x14ac:dyDescent="0.25"/>
  <cols>
    <col min="1" max="1" width="56.36328125" style="220" customWidth="1"/>
    <col min="2" max="2" width="17.36328125" style="220" bestFit="1" customWidth="1"/>
    <col min="3" max="3" width="15.36328125" style="220" customWidth="1"/>
    <col min="4" max="4" width="17.36328125" style="220" hidden="1" customWidth="1"/>
    <col min="5" max="5" width="16.36328125" style="220" customWidth="1"/>
    <col min="6" max="6" width="15.453125" style="220" customWidth="1"/>
    <col min="7" max="16384" width="8.6328125" style="220"/>
  </cols>
  <sheetData>
    <row r="1" spans="1:6" ht="64.5" customHeight="1" x14ac:dyDescent="0.25">
      <c r="A1" s="230" t="s">
        <v>473</v>
      </c>
      <c r="B1" s="228" t="s">
        <v>466</v>
      </c>
      <c r="C1" s="228" t="s">
        <v>474</v>
      </c>
      <c r="D1" s="221" t="s">
        <v>475</v>
      </c>
      <c r="E1" s="222" t="s">
        <v>467</v>
      </c>
      <c r="F1" s="222" t="s">
        <v>468</v>
      </c>
    </row>
    <row r="2" spans="1:6" x14ac:dyDescent="0.25">
      <c r="A2" s="223" t="s">
        <v>469</v>
      </c>
      <c r="B2" s="226">
        <v>1773848213.5620301</v>
      </c>
      <c r="C2" s="226">
        <f>'Tariff - RAND VALUES'!T77</f>
        <v>1506666704.6921103</v>
      </c>
      <c r="D2" s="225">
        <f>B2-C2</f>
        <v>267181508.86991978</v>
      </c>
      <c r="E2" s="226">
        <v>1916235933</v>
      </c>
      <c r="F2" s="226">
        <v>2043859033</v>
      </c>
    </row>
    <row r="3" spans="1:6" x14ac:dyDescent="0.25">
      <c r="A3" s="223" t="s">
        <v>470</v>
      </c>
      <c r="B3" s="226">
        <v>598992701.95200002</v>
      </c>
      <c r="C3" s="226">
        <f>'Tariff - RAND VALUES'!T76</f>
        <v>469709531.26928341</v>
      </c>
      <c r="D3" s="225">
        <f>B3-C3</f>
        <v>129283170.68271661</v>
      </c>
      <c r="E3" s="226">
        <v>658910889</v>
      </c>
      <c r="F3" s="226">
        <v>711635680.80297601</v>
      </c>
    </row>
    <row r="4" spans="1:6" x14ac:dyDescent="0.25">
      <c r="A4" s="223" t="s">
        <v>471</v>
      </c>
      <c r="B4" s="226">
        <v>38182000</v>
      </c>
      <c r="C4" s="226">
        <f>'Tariff - RAND VALUES'!T79</f>
        <v>38182000</v>
      </c>
      <c r="D4" s="225">
        <f>B4-C4</f>
        <v>0</v>
      </c>
      <c r="E4" s="226">
        <v>40282010</v>
      </c>
      <c r="F4" s="226">
        <v>42497520.549999997</v>
      </c>
    </row>
    <row r="5" spans="1:6" x14ac:dyDescent="0.25">
      <c r="A5" s="224" t="s">
        <v>472</v>
      </c>
      <c r="B5" s="229">
        <v>12960000</v>
      </c>
      <c r="C5" s="229">
        <f>'Tariff - RAND VALUES'!T78</f>
        <v>26717964</v>
      </c>
      <c r="D5" s="225">
        <f>B5-C5</f>
        <v>-13757964</v>
      </c>
      <c r="E5" s="227">
        <v>13460000</v>
      </c>
      <c r="F5" s="227">
        <v>13960000</v>
      </c>
    </row>
    <row r="6" spans="1:6" ht="13.5" thickBot="1" x14ac:dyDescent="0.35">
      <c r="B6" s="234">
        <f>SUM(B2:B5)</f>
        <v>2423982915.51403</v>
      </c>
      <c r="C6" s="231">
        <f>SUM(C2:C5)</f>
        <v>2041276199.9613938</v>
      </c>
      <c r="D6" s="233">
        <f>B6-C6</f>
        <v>382706715.55263615</v>
      </c>
      <c r="E6" s="231">
        <f>SUM(E2:E5)</f>
        <v>2628888832</v>
      </c>
      <c r="F6" s="235">
        <f>SUM(F2:F5)</f>
        <v>2811952234.3529763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8"/>
  <sheetViews>
    <sheetView zoomScale="70" zoomScaleNormal="70" zoomScalePageLayoutView="70" workbookViewId="0">
      <selection activeCell="F61" sqref="F61"/>
    </sheetView>
  </sheetViews>
  <sheetFormatPr defaultColWidth="8.6328125" defaultRowHeight="15.5" x14ac:dyDescent="0.35"/>
  <cols>
    <col min="1" max="1" width="7.453125" style="199" bestFit="1" customWidth="1"/>
    <col min="2" max="2" width="20.453125" style="199" customWidth="1"/>
    <col min="3" max="3" width="30.36328125" style="199" customWidth="1"/>
    <col min="4" max="4" width="0.36328125" style="202" hidden="1" customWidth="1"/>
    <col min="5" max="5" width="82.453125" style="199" customWidth="1"/>
    <col min="6" max="6" width="55.453125" style="199" customWidth="1"/>
    <col min="7" max="16384" width="8.6328125" style="199"/>
  </cols>
  <sheetData>
    <row r="1" spans="1:6" x14ac:dyDescent="0.35">
      <c r="A1" s="198" t="s">
        <v>300</v>
      </c>
      <c r="B1" s="198" t="s">
        <v>301</v>
      </c>
      <c r="C1" s="198" t="s">
        <v>94</v>
      </c>
      <c r="D1" s="200" t="s">
        <v>302</v>
      </c>
      <c r="E1" s="201"/>
    </row>
    <row r="2" spans="1:6" ht="40.5" customHeight="1" x14ac:dyDescent="0.35">
      <c r="A2" s="199" t="s">
        <v>232</v>
      </c>
      <c r="B2" s="199" t="s">
        <v>303</v>
      </c>
      <c r="C2" s="199" t="s">
        <v>233</v>
      </c>
      <c r="D2" s="202">
        <v>-1814725060</v>
      </c>
      <c r="E2" s="236" t="s">
        <v>123</v>
      </c>
    </row>
    <row r="3" spans="1:6" x14ac:dyDescent="0.35">
      <c r="E3" s="209" t="s">
        <v>252</v>
      </c>
      <c r="F3" s="210" t="s">
        <v>304</v>
      </c>
    </row>
    <row r="4" spans="1:6" x14ac:dyDescent="0.35">
      <c r="E4" s="209" t="s">
        <v>305</v>
      </c>
      <c r="F4" s="210" t="s">
        <v>306</v>
      </c>
    </row>
    <row r="5" spans="1:6" x14ac:dyDescent="0.35">
      <c r="E5" s="211" t="s">
        <v>307</v>
      </c>
      <c r="F5" s="210" t="s">
        <v>308</v>
      </c>
    </row>
    <row r="6" spans="1:6" x14ac:dyDescent="0.35">
      <c r="E6" s="211" t="s">
        <v>309</v>
      </c>
      <c r="F6" s="210" t="s">
        <v>310</v>
      </c>
    </row>
    <row r="7" spans="1:6" x14ac:dyDescent="0.35">
      <c r="E7" s="203"/>
    </row>
    <row r="8" spans="1:6" ht="31" x14ac:dyDescent="0.35">
      <c r="E8" s="236" t="s">
        <v>29</v>
      </c>
    </row>
    <row r="9" spans="1:6" x14ac:dyDescent="0.35">
      <c r="E9" s="209" t="s">
        <v>311</v>
      </c>
      <c r="F9" s="210" t="s">
        <v>312</v>
      </c>
    </row>
    <row r="10" spans="1:6" x14ac:dyDescent="0.35">
      <c r="E10" s="209" t="s">
        <v>313</v>
      </c>
      <c r="F10" s="210" t="s">
        <v>314</v>
      </c>
    </row>
    <row r="11" spans="1:6" x14ac:dyDescent="0.35">
      <c r="E11" s="204"/>
    </row>
    <row r="12" spans="1:6" ht="31" x14ac:dyDescent="0.35">
      <c r="E12" s="203" t="s">
        <v>315</v>
      </c>
    </row>
    <row r="13" spans="1:6" x14ac:dyDescent="0.35">
      <c r="E13" s="203"/>
    </row>
    <row r="14" spans="1:6" ht="31" x14ac:dyDescent="0.35">
      <c r="E14" s="238" t="s">
        <v>35</v>
      </c>
      <c r="F14" s="237" t="s">
        <v>40</v>
      </c>
    </row>
    <row r="15" spans="1:6" x14ac:dyDescent="0.35">
      <c r="E15" s="209" t="s">
        <v>305</v>
      </c>
      <c r="F15" s="210" t="s">
        <v>306</v>
      </c>
    </row>
    <row r="16" spans="1:6" x14ac:dyDescent="0.35">
      <c r="E16" s="211" t="s">
        <v>309</v>
      </c>
      <c r="F16" s="210" t="s">
        <v>316</v>
      </c>
    </row>
    <row r="19" spans="5:6" ht="31" x14ac:dyDescent="0.35">
      <c r="E19" s="203" t="s">
        <v>317</v>
      </c>
    </row>
    <row r="20" spans="5:6" ht="31" x14ac:dyDescent="0.35">
      <c r="E20" s="203" t="s">
        <v>318</v>
      </c>
    </row>
    <row r="21" spans="5:6" ht="31" x14ac:dyDescent="0.35">
      <c r="E21" s="203" t="s">
        <v>319</v>
      </c>
    </row>
    <row r="22" spans="5:6" ht="31" x14ac:dyDescent="0.35">
      <c r="E22" s="203" t="s">
        <v>320</v>
      </c>
    </row>
    <row r="24" spans="5:6" ht="31" x14ac:dyDescent="0.35">
      <c r="E24" s="238" t="s">
        <v>42</v>
      </c>
      <c r="F24" s="237" t="s">
        <v>73</v>
      </c>
    </row>
    <row r="25" spans="5:6" x14ac:dyDescent="0.35">
      <c r="E25" s="209" t="s">
        <v>252</v>
      </c>
      <c r="F25" s="210" t="s">
        <v>304</v>
      </c>
    </row>
    <row r="26" spans="5:6" x14ac:dyDescent="0.35">
      <c r="E26" s="211" t="s">
        <v>307</v>
      </c>
      <c r="F26" s="210" t="s">
        <v>321</v>
      </c>
    </row>
    <row r="27" spans="5:6" x14ac:dyDescent="0.35">
      <c r="E27" s="203"/>
    </row>
    <row r="28" spans="5:6" ht="31" x14ac:dyDescent="0.35">
      <c r="E28" s="203" t="s">
        <v>322</v>
      </c>
    </row>
    <row r="29" spans="5:6" ht="31" x14ac:dyDescent="0.35">
      <c r="E29" s="203" t="s">
        <v>323</v>
      </c>
    </row>
    <row r="30" spans="5:6" ht="31" x14ac:dyDescent="0.35">
      <c r="E30" s="203" t="s">
        <v>324</v>
      </c>
    </row>
    <row r="31" spans="5:6" ht="31" x14ac:dyDescent="0.35">
      <c r="E31" s="203" t="s">
        <v>325</v>
      </c>
    </row>
    <row r="32" spans="5:6" ht="31" x14ac:dyDescent="0.35">
      <c r="E32" s="203" t="s">
        <v>326</v>
      </c>
    </row>
    <row r="35" spans="5:6" ht="31" x14ac:dyDescent="0.35">
      <c r="E35" s="236" t="s">
        <v>52</v>
      </c>
    </row>
    <row r="36" spans="5:6" x14ac:dyDescent="0.35">
      <c r="E36" s="212" t="s">
        <v>267</v>
      </c>
      <c r="F36" s="210"/>
    </row>
    <row r="37" spans="5:6" x14ac:dyDescent="0.35">
      <c r="E37" s="210" t="s">
        <v>268</v>
      </c>
      <c r="F37" s="210" t="s">
        <v>327</v>
      </c>
    </row>
    <row r="38" spans="5:6" x14ac:dyDescent="0.35">
      <c r="E38" s="210" t="s">
        <v>328</v>
      </c>
      <c r="F38" s="210" t="s">
        <v>329</v>
      </c>
    </row>
    <row r="39" spans="5:6" x14ac:dyDescent="0.35">
      <c r="E39" s="210" t="s">
        <v>330</v>
      </c>
      <c r="F39" s="210" t="s">
        <v>331</v>
      </c>
    </row>
    <row r="40" spans="5:6" x14ac:dyDescent="0.35">
      <c r="E40" s="210" t="s">
        <v>332</v>
      </c>
      <c r="F40" s="213" t="s">
        <v>333</v>
      </c>
    </row>
    <row r="41" spans="5:6" x14ac:dyDescent="0.35">
      <c r="E41" s="210" t="s">
        <v>269</v>
      </c>
      <c r="F41" s="210" t="s">
        <v>334</v>
      </c>
    </row>
    <row r="42" spans="5:6" x14ac:dyDescent="0.35">
      <c r="E42" s="210" t="s">
        <v>335</v>
      </c>
      <c r="F42" s="210" t="s">
        <v>336</v>
      </c>
    </row>
    <row r="43" spans="5:6" x14ac:dyDescent="0.35">
      <c r="E43" s="210" t="s">
        <v>337</v>
      </c>
      <c r="F43" s="210" t="s">
        <v>338</v>
      </c>
    </row>
    <row r="44" spans="5:6" x14ac:dyDescent="0.35">
      <c r="E44" s="210" t="s">
        <v>339</v>
      </c>
      <c r="F44" s="210" t="s">
        <v>340</v>
      </c>
    </row>
    <row r="45" spans="5:6" x14ac:dyDescent="0.35">
      <c r="E45" s="203"/>
    </row>
    <row r="46" spans="5:6" ht="31" x14ac:dyDescent="0.35">
      <c r="E46" s="239" t="s">
        <v>341</v>
      </c>
      <c r="F46" s="237" t="s">
        <v>40</v>
      </c>
    </row>
    <row r="47" spans="5:6" x14ac:dyDescent="0.35">
      <c r="E47" s="205" t="s">
        <v>271</v>
      </c>
      <c r="F47" s="201"/>
    </row>
    <row r="48" spans="5:6" x14ac:dyDescent="0.35">
      <c r="E48" s="210" t="s">
        <v>342</v>
      </c>
      <c r="F48" s="210" t="s">
        <v>343</v>
      </c>
    </row>
    <row r="49" spans="5:6" x14ac:dyDescent="0.35">
      <c r="E49" s="210" t="s">
        <v>274</v>
      </c>
      <c r="F49" s="210" t="s">
        <v>344</v>
      </c>
    </row>
    <row r="50" spans="5:6" x14ac:dyDescent="0.35">
      <c r="E50" s="210" t="s">
        <v>345</v>
      </c>
      <c r="F50" s="210" t="s">
        <v>346</v>
      </c>
    </row>
    <row r="51" spans="5:6" x14ac:dyDescent="0.35">
      <c r="E51" s="210" t="s">
        <v>273</v>
      </c>
      <c r="F51" s="210" t="s">
        <v>347</v>
      </c>
    </row>
    <row r="52" spans="5:6" x14ac:dyDescent="0.35">
      <c r="E52" s="210" t="s">
        <v>272</v>
      </c>
      <c r="F52" s="210" t="s">
        <v>348</v>
      </c>
    </row>
    <row r="53" spans="5:6" x14ac:dyDescent="0.35">
      <c r="E53" s="210" t="s">
        <v>349</v>
      </c>
      <c r="F53" s="210" t="s">
        <v>350</v>
      </c>
    </row>
    <row r="54" spans="5:6" x14ac:dyDescent="0.35">
      <c r="E54" s="210" t="s">
        <v>351</v>
      </c>
      <c r="F54" s="210" t="s">
        <v>352</v>
      </c>
    </row>
    <row r="55" spans="5:6" x14ac:dyDescent="0.35">
      <c r="E55" s="210" t="s">
        <v>353</v>
      </c>
      <c r="F55" s="210" t="s">
        <v>354</v>
      </c>
    </row>
    <row r="57" spans="5:6" ht="31" x14ac:dyDescent="0.35">
      <c r="E57" s="239" t="s">
        <v>355</v>
      </c>
      <c r="F57" s="237" t="s">
        <v>50</v>
      </c>
    </row>
    <row r="58" spans="5:6" x14ac:dyDescent="0.35">
      <c r="E58" s="214" t="s">
        <v>356</v>
      </c>
      <c r="F58" s="210" t="s">
        <v>357</v>
      </c>
    </row>
    <row r="59" spans="5:6" x14ac:dyDescent="0.35">
      <c r="E59" s="210" t="s">
        <v>358</v>
      </c>
      <c r="F59" s="210" t="s">
        <v>359</v>
      </c>
    </row>
    <row r="60" spans="5:6" x14ac:dyDescent="0.35">
      <c r="E60" s="210" t="s">
        <v>360</v>
      </c>
      <c r="F60" s="210" t="s">
        <v>361</v>
      </c>
    </row>
    <row r="61" spans="5:6" x14ac:dyDescent="0.35">
      <c r="E61" s="210" t="s">
        <v>362</v>
      </c>
      <c r="F61" s="210" t="s">
        <v>363</v>
      </c>
    </row>
    <row r="62" spans="5:6" x14ac:dyDescent="0.35">
      <c r="E62" s="210" t="s">
        <v>364</v>
      </c>
      <c r="F62" s="210" t="s">
        <v>365</v>
      </c>
    </row>
    <row r="63" spans="5:6" x14ac:dyDescent="0.35">
      <c r="E63" s="210" t="s">
        <v>366</v>
      </c>
      <c r="F63" s="210" t="s">
        <v>367</v>
      </c>
    </row>
    <row r="64" spans="5:6" x14ac:dyDescent="0.35">
      <c r="E64" s="210" t="s">
        <v>368</v>
      </c>
      <c r="F64" s="210" t="s">
        <v>369</v>
      </c>
    </row>
    <row r="66" spans="5:6" ht="31" x14ac:dyDescent="0.35">
      <c r="E66" s="239" t="s">
        <v>370</v>
      </c>
      <c r="F66" s="237" t="s">
        <v>50</v>
      </c>
    </row>
    <row r="67" spans="5:6" x14ac:dyDescent="0.35">
      <c r="E67" s="210" t="s">
        <v>371</v>
      </c>
      <c r="F67" s="210" t="s">
        <v>372</v>
      </c>
    </row>
    <row r="68" spans="5:6" x14ac:dyDescent="0.35">
      <c r="E68" s="210" t="s">
        <v>373</v>
      </c>
      <c r="F68" s="210" t="s">
        <v>374</v>
      </c>
    </row>
    <row r="69" spans="5:6" x14ac:dyDescent="0.35">
      <c r="E69" s="210" t="s">
        <v>375</v>
      </c>
      <c r="F69" s="210" t="s">
        <v>376</v>
      </c>
    </row>
    <row r="70" spans="5:6" x14ac:dyDescent="0.35">
      <c r="E70" s="210" t="s">
        <v>377</v>
      </c>
      <c r="F70" s="210" t="s">
        <v>378</v>
      </c>
    </row>
    <row r="71" spans="5:6" x14ac:dyDescent="0.35">
      <c r="E71" s="210" t="s">
        <v>379</v>
      </c>
      <c r="F71" s="210" t="s">
        <v>380</v>
      </c>
    </row>
    <row r="72" spans="5:6" x14ac:dyDescent="0.35">
      <c r="E72" s="210" t="s">
        <v>381</v>
      </c>
      <c r="F72" s="210" t="s">
        <v>382</v>
      </c>
    </row>
    <row r="73" spans="5:6" x14ac:dyDescent="0.35">
      <c r="E73" s="210" t="s">
        <v>383</v>
      </c>
      <c r="F73" s="210" t="s">
        <v>384</v>
      </c>
    </row>
    <row r="74" spans="5:6" x14ac:dyDescent="0.35">
      <c r="E74" s="206"/>
    </row>
    <row r="75" spans="5:6" ht="31" x14ac:dyDescent="0.35">
      <c r="E75" s="239" t="s">
        <v>385</v>
      </c>
      <c r="F75" s="240" t="s">
        <v>31</v>
      </c>
    </row>
    <row r="76" spans="5:6" x14ac:dyDescent="0.35">
      <c r="E76" s="205" t="s">
        <v>253</v>
      </c>
      <c r="F76" s="215"/>
    </row>
    <row r="77" spans="5:6" x14ac:dyDescent="0.35">
      <c r="E77" s="216" t="s">
        <v>386</v>
      </c>
      <c r="F77" s="216" t="s">
        <v>387</v>
      </c>
    </row>
    <row r="78" spans="5:6" x14ac:dyDescent="0.35">
      <c r="E78" s="216" t="s">
        <v>388</v>
      </c>
      <c r="F78" s="216" t="s">
        <v>389</v>
      </c>
    </row>
    <row r="79" spans="5:6" x14ac:dyDescent="0.35">
      <c r="E79" s="216" t="s">
        <v>390</v>
      </c>
      <c r="F79" s="216" t="s">
        <v>391</v>
      </c>
    </row>
    <row r="80" spans="5:6" x14ac:dyDescent="0.35">
      <c r="E80" s="216" t="s">
        <v>392</v>
      </c>
      <c r="F80" s="216" t="s">
        <v>393</v>
      </c>
    </row>
    <row r="81" spans="5:6" x14ac:dyDescent="0.35">
      <c r="E81" s="216" t="s">
        <v>394</v>
      </c>
      <c r="F81" s="216" t="s">
        <v>395</v>
      </c>
    </row>
    <row r="82" spans="5:6" x14ac:dyDescent="0.35">
      <c r="E82" s="216" t="s">
        <v>396</v>
      </c>
      <c r="F82" s="216" t="s">
        <v>397</v>
      </c>
    </row>
    <row r="83" spans="5:6" x14ac:dyDescent="0.35">
      <c r="E83" s="216" t="s">
        <v>398</v>
      </c>
      <c r="F83" s="216" t="s">
        <v>399</v>
      </c>
    </row>
    <row r="85" spans="5:6" ht="36.75" customHeight="1" x14ac:dyDescent="0.35">
      <c r="E85" s="239" t="s">
        <v>400</v>
      </c>
      <c r="F85" s="237" t="s">
        <v>29</v>
      </c>
    </row>
    <row r="86" spans="5:6" x14ac:dyDescent="0.35">
      <c r="E86" s="205" t="s">
        <v>253</v>
      </c>
      <c r="F86" s="201"/>
    </row>
    <row r="87" spans="5:6" x14ac:dyDescent="0.35">
      <c r="E87" s="210" t="s">
        <v>401</v>
      </c>
      <c r="F87" s="210" t="s">
        <v>402</v>
      </c>
    </row>
    <row r="88" spans="5:6" x14ac:dyDescent="0.35">
      <c r="E88" s="210" t="s">
        <v>403</v>
      </c>
      <c r="F88" s="210" t="s">
        <v>404</v>
      </c>
    </row>
    <row r="89" spans="5:6" x14ac:dyDescent="0.35">
      <c r="E89" s="210" t="s">
        <v>405</v>
      </c>
      <c r="F89" s="210" t="s">
        <v>406</v>
      </c>
    </row>
    <row r="90" spans="5:6" x14ac:dyDescent="0.35">
      <c r="E90" s="210" t="s">
        <v>407</v>
      </c>
      <c r="F90" s="210" t="s">
        <v>408</v>
      </c>
    </row>
    <row r="91" spans="5:6" x14ac:dyDescent="0.35">
      <c r="E91" s="210" t="s">
        <v>409</v>
      </c>
      <c r="F91" s="210" t="s">
        <v>410</v>
      </c>
    </row>
    <row r="92" spans="5:6" x14ac:dyDescent="0.35">
      <c r="E92" s="210" t="s">
        <v>411</v>
      </c>
      <c r="F92" s="210" t="s">
        <v>412</v>
      </c>
    </row>
    <row r="93" spans="5:6" x14ac:dyDescent="0.35">
      <c r="E93" s="210" t="s">
        <v>413</v>
      </c>
      <c r="F93" s="210" t="s">
        <v>414</v>
      </c>
    </row>
    <row r="94" spans="5:6" x14ac:dyDescent="0.35">
      <c r="E94" s="203"/>
    </row>
    <row r="95" spans="5:6" ht="32.25" customHeight="1" x14ac:dyDescent="0.35">
      <c r="E95" s="236" t="s">
        <v>415</v>
      </c>
    </row>
    <row r="96" spans="5:6" x14ac:dyDescent="0.35">
      <c r="E96" s="205" t="s">
        <v>261</v>
      </c>
      <c r="F96" s="201"/>
    </row>
    <row r="97" spans="5:6" x14ac:dyDescent="0.35">
      <c r="E97" s="210" t="s">
        <v>262</v>
      </c>
      <c r="F97" s="210" t="s">
        <v>416</v>
      </c>
    </row>
    <row r="98" spans="5:6" x14ac:dyDescent="0.35">
      <c r="E98" s="210" t="s">
        <v>266</v>
      </c>
      <c r="F98" s="210" t="s">
        <v>417</v>
      </c>
    </row>
    <row r="99" spans="5:6" x14ac:dyDescent="0.35">
      <c r="E99" s="210" t="s">
        <v>264</v>
      </c>
      <c r="F99" s="210" t="s">
        <v>418</v>
      </c>
    </row>
    <row r="100" spans="5:6" x14ac:dyDescent="0.35">
      <c r="E100" s="210" t="s">
        <v>265</v>
      </c>
      <c r="F100" s="210" t="s">
        <v>419</v>
      </c>
    </row>
    <row r="101" spans="5:6" x14ac:dyDescent="0.35">
      <c r="E101" s="210" t="s">
        <v>263</v>
      </c>
      <c r="F101" s="210" t="s">
        <v>420</v>
      </c>
    </row>
    <row r="102" spans="5:6" x14ac:dyDescent="0.35">
      <c r="E102" s="210" t="s">
        <v>421</v>
      </c>
      <c r="F102" s="210" t="s">
        <v>422</v>
      </c>
    </row>
    <row r="103" spans="5:6" x14ac:dyDescent="0.35">
      <c r="E103" s="210" t="s">
        <v>423</v>
      </c>
      <c r="F103" s="210" t="s">
        <v>424</v>
      </c>
    </row>
    <row r="104" spans="5:6" x14ac:dyDescent="0.35">
      <c r="E104" s="210" t="s">
        <v>425</v>
      </c>
      <c r="F104" s="210" t="s">
        <v>426</v>
      </c>
    </row>
    <row r="105" spans="5:6" x14ac:dyDescent="0.35">
      <c r="E105" s="203"/>
    </row>
    <row r="106" spans="5:6" ht="31" x14ac:dyDescent="0.35">
      <c r="E106" s="239" t="s">
        <v>427</v>
      </c>
      <c r="F106" s="237" t="s">
        <v>50</v>
      </c>
    </row>
    <row r="107" spans="5:6" x14ac:dyDescent="0.35">
      <c r="E107" s="205" t="s">
        <v>270</v>
      </c>
      <c r="F107" s="201"/>
    </row>
    <row r="108" spans="5:6" x14ac:dyDescent="0.35">
      <c r="E108" s="210" t="s">
        <v>342</v>
      </c>
      <c r="F108" s="209" t="s">
        <v>428</v>
      </c>
    </row>
    <row r="109" spans="5:6" x14ac:dyDescent="0.35">
      <c r="E109" s="210" t="s">
        <v>274</v>
      </c>
      <c r="F109" s="209" t="s">
        <v>344</v>
      </c>
    </row>
    <row r="110" spans="5:6" x14ac:dyDescent="0.35">
      <c r="E110" s="210" t="s">
        <v>345</v>
      </c>
      <c r="F110" s="209" t="s">
        <v>429</v>
      </c>
    </row>
    <row r="111" spans="5:6" x14ac:dyDescent="0.35">
      <c r="E111" s="210" t="s">
        <v>273</v>
      </c>
      <c r="F111" s="209" t="s">
        <v>347</v>
      </c>
    </row>
    <row r="112" spans="5:6" x14ac:dyDescent="0.35">
      <c r="E112" s="210" t="s">
        <v>272</v>
      </c>
      <c r="F112" s="209" t="s">
        <v>348</v>
      </c>
    </row>
    <row r="113" spans="5:6" x14ac:dyDescent="0.35">
      <c r="E113" s="210" t="s">
        <v>349</v>
      </c>
      <c r="F113" s="209" t="s">
        <v>350</v>
      </c>
    </row>
    <row r="114" spans="5:6" x14ac:dyDescent="0.35">
      <c r="E114" s="210" t="s">
        <v>351</v>
      </c>
      <c r="F114" s="209" t="s">
        <v>352</v>
      </c>
    </row>
    <row r="115" spans="5:6" x14ac:dyDescent="0.35">
      <c r="E115" s="210" t="s">
        <v>353</v>
      </c>
      <c r="F115" s="217" t="s">
        <v>354</v>
      </c>
    </row>
    <row r="116" spans="5:6" ht="28.5" customHeight="1" x14ac:dyDescent="0.35">
      <c r="E116" s="207"/>
    </row>
    <row r="117" spans="5:6" ht="31" x14ac:dyDescent="0.35">
      <c r="E117" s="238" t="s">
        <v>464</v>
      </c>
      <c r="F117" s="237" t="s">
        <v>54</v>
      </c>
    </row>
    <row r="118" spans="5:6" x14ac:dyDescent="0.35">
      <c r="E118" s="205" t="s">
        <v>254</v>
      </c>
      <c r="F118" s="201"/>
    </row>
    <row r="119" spans="5:6" x14ac:dyDescent="0.35">
      <c r="E119" s="210" t="s">
        <v>256</v>
      </c>
      <c r="F119" s="210" t="s">
        <v>430</v>
      </c>
    </row>
    <row r="120" spans="5:6" x14ac:dyDescent="0.35">
      <c r="E120" s="210" t="s">
        <v>260</v>
      </c>
      <c r="F120" s="210" t="s">
        <v>431</v>
      </c>
    </row>
    <row r="121" spans="5:6" x14ac:dyDescent="0.35">
      <c r="E121" s="210" t="s">
        <v>258</v>
      </c>
      <c r="F121" s="210" t="s">
        <v>432</v>
      </c>
    </row>
    <row r="122" spans="5:6" x14ac:dyDescent="0.35">
      <c r="E122" s="210" t="s">
        <v>259</v>
      </c>
      <c r="F122" s="210" t="s">
        <v>433</v>
      </c>
    </row>
    <row r="123" spans="5:6" x14ac:dyDescent="0.35">
      <c r="E123" s="210" t="s">
        <v>257</v>
      </c>
      <c r="F123" s="210" t="s">
        <v>434</v>
      </c>
    </row>
    <row r="124" spans="5:6" x14ac:dyDescent="0.35">
      <c r="E124" s="210" t="s">
        <v>435</v>
      </c>
      <c r="F124" s="210" t="s">
        <v>436</v>
      </c>
    </row>
    <row r="125" spans="5:6" x14ac:dyDescent="0.35">
      <c r="E125" s="210" t="s">
        <v>435</v>
      </c>
      <c r="F125" s="210" t="s">
        <v>437</v>
      </c>
    </row>
    <row r="126" spans="5:6" x14ac:dyDescent="0.35">
      <c r="E126" s="210" t="s">
        <v>438</v>
      </c>
      <c r="F126" s="210" t="s">
        <v>439</v>
      </c>
    </row>
    <row r="127" spans="5:6" x14ac:dyDescent="0.35">
      <c r="E127" s="203"/>
    </row>
    <row r="128" spans="5:6" ht="31" x14ac:dyDescent="0.35">
      <c r="E128" s="203" t="s">
        <v>56</v>
      </c>
    </row>
    <row r="129" spans="5:6" x14ac:dyDescent="0.35">
      <c r="E129" s="203" t="s">
        <v>58</v>
      </c>
    </row>
    <row r="130" spans="5:6" x14ac:dyDescent="0.35">
      <c r="E130" s="203" t="s">
        <v>60</v>
      </c>
    </row>
    <row r="131" spans="5:6" x14ac:dyDescent="0.35">
      <c r="E131" s="203"/>
    </row>
    <row r="132" spans="5:6" ht="35.25" customHeight="1" x14ac:dyDescent="0.35">
      <c r="E132" s="236" t="s">
        <v>440</v>
      </c>
    </row>
    <row r="133" spans="5:6" x14ac:dyDescent="0.35">
      <c r="E133" s="209" t="s">
        <v>252</v>
      </c>
      <c r="F133" s="210" t="s">
        <v>304</v>
      </c>
    </row>
    <row r="134" spans="5:6" x14ac:dyDescent="0.35">
      <c r="E134" s="209" t="s">
        <v>305</v>
      </c>
      <c r="F134" s="210" t="s">
        <v>306</v>
      </c>
    </row>
    <row r="135" spans="5:6" x14ac:dyDescent="0.35">
      <c r="E135" s="211" t="s">
        <v>307</v>
      </c>
      <c r="F135" s="210" t="s">
        <v>321</v>
      </c>
    </row>
    <row r="136" spans="5:6" x14ac:dyDescent="0.35">
      <c r="E136" s="211" t="s">
        <v>309</v>
      </c>
      <c r="F136" s="210" t="s">
        <v>316</v>
      </c>
    </row>
    <row r="137" spans="5:6" x14ac:dyDescent="0.35">
      <c r="E137" s="209" t="s">
        <v>441</v>
      </c>
      <c r="F137" s="210" t="s">
        <v>442</v>
      </c>
    </row>
    <row r="138" spans="5:6" x14ac:dyDescent="0.35">
      <c r="E138" s="209" t="s">
        <v>443</v>
      </c>
      <c r="F138" s="210" t="s">
        <v>444</v>
      </c>
    </row>
    <row r="139" spans="5:6" x14ac:dyDescent="0.35">
      <c r="E139" s="209" t="s">
        <v>445</v>
      </c>
      <c r="F139" s="210" t="s">
        <v>446</v>
      </c>
    </row>
    <row r="140" spans="5:6" x14ac:dyDescent="0.35">
      <c r="E140" s="211" t="s">
        <v>447</v>
      </c>
      <c r="F140" s="210" t="s">
        <v>448</v>
      </c>
    </row>
    <row r="141" spans="5:6" x14ac:dyDescent="0.35">
      <c r="E141" s="211" t="s">
        <v>449</v>
      </c>
      <c r="F141" s="210" t="s">
        <v>450</v>
      </c>
    </row>
    <row r="142" spans="5:6" ht="15" customHeight="1" x14ac:dyDescent="0.35">
      <c r="E142" s="211" t="s">
        <v>451</v>
      </c>
      <c r="F142" s="210" t="s">
        <v>452</v>
      </c>
    </row>
    <row r="143" spans="5:6" x14ac:dyDescent="0.35">
      <c r="E143" s="203"/>
    </row>
    <row r="144" spans="5:6" x14ac:dyDescent="0.35">
      <c r="E144" s="236" t="s">
        <v>453</v>
      </c>
    </row>
    <row r="145" spans="1:6" x14ac:dyDescent="0.35">
      <c r="E145" s="209" t="s">
        <v>278</v>
      </c>
      <c r="F145" s="210" t="s">
        <v>454</v>
      </c>
    </row>
    <row r="146" spans="1:6" x14ac:dyDescent="0.35">
      <c r="E146" s="209" t="s">
        <v>276</v>
      </c>
      <c r="F146" s="210" t="s">
        <v>455</v>
      </c>
    </row>
    <row r="147" spans="1:6" x14ac:dyDescent="0.35">
      <c r="E147" s="209" t="s">
        <v>277</v>
      </c>
      <c r="F147" s="213" t="s">
        <v>456</v>
      </c>
    </row>
    <row r="148" spans="1:6" ht="21" customHeight="1" x14ac:dyDescent="0.35">
      <c r="E148" s="211" t="s">
        <v>457</v>
      </c>
      <c r="F148" s="210" t="s">
        <v>458</v>
      </c>
    </row>
    <row r="149" spans="1:6" x14ac:dyDescent="0.35">
      <c r="E149" s="211" t="s">
        <v>459</v>
      </c>
      <c r="F149" s="210" t="s">
        <v>460</v>
      </c>
    </row>
    <row r="150" spans="1:6" x14ac:dyDescent="0.35">
      <c r="E150" s="211" t="s">
        <v>461</v>
      </c>
      <c r="F150" s="210" t="s">
        <v>462</v>
      </c>
    </row>
    <row r="151" spans="1:6" x14ac:dyDescent="0.35">
      <c r="D151" s="202">
        <v>-581876786</v>
      </c>
      <c r="E151" s="203"/>
    </row>
    <row r="152" spans="1:6" x14ac:dyDescent="0.35">
      <c r="E152" s="206" t="s">
        <v>64</v>
      </c>
    </row>
    <row r="153" spans="1:6" x14ac:dyDescent="0.35">
      <c r="E153" s="203" t="s">
        <v>66</v>
      </c>
    </row>
    <row r="154" spans="1:6" x14ac:dyDescent="0.35">
      <c r="E154" s="203"/>
      <c r="F154" s="208"/>
    </row>
    <row r="155" spans="1:6" x14ac:dyDescent="0.35">
      <c r="A155" s="199" t="s">
        <v>232</v>
      </c>
      <c r="B155" s="199" t="s">
        <v>463</v>
      </c>
      <c r="C155" s="199" t="s">
        <v>236</v>
      </c>
      <c r="E155" s="236" t="s">
        <v>33</v>
      </c>
    </row>
    <row r="156" spans="1:6" x14ac:dyDescent="0.35">
      <c r="E156" s="209" t="s">
        <v>311</v>
      </c>
      <c r="F156" s="210" t="s">
        <v>312</v>
      </c>
    </row>
    <row r="157" spans="1:6" x14ac:dyDescent="0.35">
      <c r="E157" s="209" t="s">
        <v>313</v>
      </c>
      <c r="F157" s="210" t="s">
        <v>314</v>
      </c>
    </row>
    <row r="158" spans="1:6" x14ac:dyDescent="0.35">
      <c r="E158" s="203"/>
    </row>
    <row r="159" spans="1:6" x14ac:dyDescent="0.35">
      <c r="E159" s="236" t="s">
        <v>141</v>
      </c>
    </row>
    <row r="160" spans="1:6" x14ac:dyDescent="0.35">
      <c r="E160" s="209" t="s">
        <v>252</v>
      </c>
      <c r="F160" s="210" t="s">
        <v>304</v>
      </c>
    </row>
    <row r="161" spans="3:6" x14ac:dyDescent="0.35">
      <c r="E161" s="218" t="s">
        <v>307</v>
      </c>
      <c r="F161" s="216" t="s">
        <v>321</v>
      </c>
    </row>
    <row r="162" spans="3:6" x14ac:dyDescent="0.35">
      <c r="E162" s="203"/>
    </row>
    <row r="163" spans="3:6" x14ac:dyDescent="0.35">
      <c r="E163" s="236" t="s">
        <v>140</v>
      </c>
    </row>
    <row r="164" spans="3:6" x14ac:dyDescent="0.35">
      <c r="E164" s="209" t="s">
        <v>305</v>
      </c>
      <c r="F164" s="210" t="s">
        <v>306</v>
      </c>
    </row>
    <row r="165" spans="3:6" x14ac:dyDescent="0.35">
      <c r="E165" s="218" t="s">
        <v>309</v>
      </c>
      <c r="F165" s="216" t="s">
        <v>316</v>
      </c>
    </row>
    <row r="166" spans="3:6" x14ac:dyDescent="0.35">
      <c r="E166" s="203"/>
    </row>
    <row r="167" spans="3:6" x14ac:dyDescent="0.35">
      <c r="E167" s="219" t="e">
        <f>'Tariff Structure to complete'!#REF!</f>
        <v>#REF!</v>
      </c>
    </row>
    <row r="168" spans="3:6" x14ac:dyDescent="0.35">
      <c r="C168" s="199" t="s">
        <v>465</v>
      </c>
      <c r="E168" s="210"/>
      <c r="F168" s="210"/>
    </row>
  </sheetData>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U79"/>
  <sheetViews>
    <sheetView workbookViewId="0">
      <pane ySplit="900" activePane="bottomLeft"/>
      <selection activeCell="G1" sqref="G1"/>
      <selection pane="bottomLeft" activeCell="U75" sqref="U75"/>
    </sheetView>
  </sheetViews>
  <sheetFormatPr defaultColWidth="8.6328125" defaultRowHeight="14.5" x14ac:dyDescent="0.35"/>
  <cols>
    <col min="1" max="1" width="13" style="248" customWidth="1"/>
    <col min="2" max="2" width="14.36328125" style="248" customWidth="1"/>
    <col min="3" max="3" width="22" style="248" customWidth="1"/>
    <col min="4" max="4" width="20.6328125" style="248" bestFit="1" customWidth="1"/>
    <col min="5" max="5" width="13.36328125" style="249" bestFit="1" customWidth="1"/>
    <col min="6" max="6" width="11.453125" style="249" bestFit="1" customWidth="1"/>
    <col min="7" max="7" width="16.453125" style="248" bestFit="1" customWidth="1"/>
    <col min="8" max="19" width="15.36328125" style="248" bestFit="1" customWidth="1"/>
    <col min="20" max="20" width="17" style="248" bestFit="1" customWidth="1"/>
    <col min="21" max="21" width="15.36328125" style="248" bestFit="1" customWidth="1"/>
    <col min="22" max="16384" width="8.6328125" style="248"/>
  </cols>
  <sheetData>
    <row r="1" spans="1:21" x14ac:dyDescent="0.35">
      <c r="H1" s="248" t="s">
        <v>280</v>
      </c>
      <c r="I1" s="248" t="s">
        <v>280</v>
      </c>
      <c r="J1" s="248" t="s">
        <v>281</v>
      </c>
      <c r="K1" s="248" t="s">
        <v>281</v>
      </c>
      <c r="L1" s="248" t="s">
        <v>281</v>
      </c>
      <c r="M1" s="248" t="s">
        <v>281</v>
      </c>
      <c r="N1" s="248" t="s">
        <v>281</v>
      </c>
      <c r="O1" s="248" t="s">
        <v>281</v>
      </c>
      <c r="P1" s="248" t="s">
        <v>281</v>
      </c>
      <c r="Q1" s="248" t="s">
        <v>281</v>
      </c>
      <c r="R1" s="248" t="s">
        <v>281</v>
      </c>
      <c r="S1" s="248" t="s">
        <v>280</v>
      </c>
      <c r="T1" s="250" t="s">
        <v>281</v>
      </c>
      <c r="U1" s="250" t="s">
        <v>280</v>
      </c>
    </row>
    <row r="2" spans="1:21" x14ac:dyDescent="0.35">
      <c r="A2" s="1201" t="s">
        <v>531</v>
      </c>
      <c r="B2" s="1201" t="s">
        <v>532</v>
      </c>
      <c r="C2" s="251"/>
      <c r="D2" s="251"/>
      <c r="E2" s="252"/>
      <c r="F2" s="252"/>
      <c r="G2" s="251" t="s">
        <v>282</v>
      </c>
      <c r="H2" s="253">
        <v>42186</v>
      </c>
      <c r="I2" s="253">
        <v>42217</v>
      </c>
      <c r="J2" s="253">
        <v>42248</v>
      </c>
      <c r="K2" s="253">
        <v>42278</v>
      </c>
      <c r="L2" s="253">
        <v>42309</v>
      </c>
      <c r="M2" s="253">
        <v>42339</v>
      </c>
      <c r="N2" s="253">
        <v>42370</v>
      </c>
      <c r="O2" s="253">
        <v>42401</v>
      </c>
      <c r="P2" s="253">
        <v>42430</v>
      </c>
      <c r="Q2" s="253">
        <v>42461</v>
      </c>
      <c r="R2" s="253">
        <v>42491</v>
      </c>
      <c r="S2" s="253">
        <v>42522</v>
      </c>
    </row>
    <row r="3" spans="1:21" x14ac:dyDescent="0.35">
      <c r="A3" s="1202"/>
      <c r="B3" s="1202"/>
      <c r="C3" s="251" t="s">
        <v>535</v>
      </c>
      <c r="D3" s="251"/>
      <c r="E3" s="252" t="s">
        <v>249</v>
      </c>
      <c r="F3" s="252" t="s">
        <v>250</v>
      </c>
      <c r="G3" s="254">
        <f>SUM(G4:G5)</f>
        <v>469709531.26928347</v>
      </c>
      <c r="T3" s="255">
        <f>SUM(T4:T5)</f>
        <v>372586227.07684988</v>
      </c>
      <c r="U3" s="255">
        <f>SUM(U4:U5)</f>
        <v>97123304.192433581</v>
      </c>
    </row>
    <row r="4" spans="1:21" x14ac:dyDescent="0.35">
      <c r="A4" s="248" t="s">
        <v>534</v>
      </c>
      <c r="B4" s="248" t="s">
        <v>307</v>
      </c>
      <c r="C4" s="256"/>
      <c r="D4" s="256" t="s">
        <v>251</v>
      </c>
      <c r="E4" s="257">
        <v>1.1000000000000001</v>
      </c>
      <c r="F4" s="257">
        <v>1.3613324999999998</v>
      </c>
      <c r="G4" s="258">
        <f>SUM(H4:S4)</f>
        <v>344662071.04357576</v>
      </c>
      <c r="H4" s="259">
        <v>21250761.274858806</v>
      </c>
      <c r="I4" s="259">
        <v>21327816.723449953</v>
      </c>
      <c r="J4" s="259">
        <v>34879076.486521393</v>
      </c>
      <c r="K4" s="259">
        <v>28302233.952706564</v>
      </c>
      <c r="L4" s="259">
        <v>28175353.204838399</v>
      </c>
      <c r="M4" s="259">
        <v>29281953.558527999</v>
      </c>
      <c r="N4" s="259">
        <v>28655154.681753602</v>
      </c>
      <c r="O4" s="259">
        <v>27774628.531752959</v>
      </c>
      <c r="P4" s="259">
        <v>30231516.547584001</v>
      </c>
      <c r="Q4" s="259">
        <v>30343275.430871036</v>
      </c>
      <c r="R4" s="259">
        <v>34148003.482644483</v>
      </c>
      <c r="S4" s="259">
        <v>30292297.168066565</v>
      </c>
      <c r="T4" s="259">
        <f>G4-U4</f>
        <v>271791195.87720042</v>
      </c>
      <c r="U4" s="259">
        <f>SUM(S4+H4+I4)</f>
        <v>72870875.166375324</v>
      </c>
    </row>
    <row r="5" spans="1:21" x14ac:dyDescent="0.35">
      <c r="A5" s="248" t="s">
        <v>534</v>
      </c>
      <c r="B5" s="248" t="s">
        <v>307</v>
      </c>
      <c r="C5" s="256"/>
      <c r="D5" s="256" t="s">
        <v>283</v>
      </c>
      <c r="E5" s="257">
        <v>1.266594</v>
      </c>
      <c r="F5" s="257">
        <v>1.65</v>
      </c>
      <c r="G5" s="258">
        <f>SUM(H5:S5)</f>
        <v>125047460.22570769</v>
      </c>
      <c r="H5" s="259">
        <v>5142946.0354652153</v>
      </c>
      <c r="I5" s="259">
        <v>4180227.4191743992</v>
      </c>
      <c r="J5" s="259">
        <v>13049368.1281751</v>
      </c>
      <c r="K5" s="259">
        <v>9659359.8659804352</v>
      </c>
      <c r="L5" s="259">
        <v>9190848.9281016737</v>
      </c>
      <c r="M5" s="259">
        <v>9400475.0727660581</v>
      </c>
      <c r="N5" s="259">
        <v>8794087.361868294</v>
      </c>
      <c r="O5" s="259">
        <v>8463563.4872897603</v>
      </c>
      <c r="P5" s="259">
        <v>10444951.197248118</v>
      </c>
      <c r="Q5" s="259">
        <v>10969474.404736912</v>
      </c>
      <c r="R5" s="259">
        <v>20822902.753483087</v>
      </c>
      <c r="S5" s="259">
        <v>14929255.571418647</v>
      </c>
      <c r="T5" s="259">
        <f>G5-U5</f>
        <v>100795031.19964944</v>
      </c>
      <c r="U5" s="259">
        <f>SUM(S5+H5+I5)</f>
        <v>24252429.02605826</v>
      </c>
    </row>
    <row r="6" spans="1:21" x14ac:dyDescent="0.35">
      <c r="C6" s="251" t="s">
        <v>284</v>
      </c>
      <c r="D6" s="251"/>
      <c r="E6" s="252" t="s">
        <v>249</v>
      </c>
      <c r="F6" s="252" t="s">
        <v>250</v>
      </c>
      <c r="G6" s="254">
        <f>SUM(G7:G8)</f>
        <v>230685818.95416695</v>
      </c>
      <c r="T6" s="255">
        <f>SUM(T7:T8)</f>
        <v>138934955.87550721</v>
      </c>
      <c r="U6" s="255">
        <f>SUM(U7:U8)</f>
        <v>91750863.078659743</v>
      </c>
    </row>
    <row r="7" spans="1:21" x14ac:dyDescent="0.35">
      <c r="A7" s="248" t="s">
        <v>305</v>
      </c>
      <c r="B7" s="248" t="s">
        <v>252</v>
      </c>
      <c r="C7" s="256"/>
      <c r="D7" s="256" t="s">
        <v>251</v>
      </c>
      <c r="E7" s="257">
        <v>1.1000000000000001</v>
      </c>
      <c r="F7" s="257">
        <v>1.3613324999999998</v>
      </c>
      <c r="G7" s="258">
        <f>SUM(H7:S7)</f>
        <v>46204890.676191576</v>
      </c>
      <c r="H7" s="259">
        <v>5628732.5304872626</v>
      </c>
      <c r="I7" s="259">
        <v>6197250.8210573019</v>
      </c>
      <c r="J7" s="259">
        <v>3905431.1417196472</v>
      </c>
      <c r="K7" s="259">
        <v>4815353.1550924787</v>
      </c>
      <c r="L7" s="259">
        <v>4053401.0156851201</v>
      </c>
      <c r="M7" s="259">
        <v>2595218.33336832</v>
      </c>
      <c r="N7" s="259">
        <v>4119727.4822246395</v>
      </c>
      <c r="O7" s="259">
        <v>3943895.1683788793</v>
      </c>
      <c r="P7" s="259">
        <v>3106844.291358721</v>
      </c>
      <c r="Q7" s="259">
        <v>2889961.4177279994</v>
      </c>
      <c r="R7" s="259">
        <v>2401899.4837094401</v>
      </c>
      <c r="S7" s="259">
        <v>2547175.8353817598</v>
      </c>
      <c r="T7" s="259">
        <f>G7-U7</f>
        <v>31831731.489265252</v>
      </c>
      <c r="U7" s="259">
        <f t="shared" ref="U7:U73" si="0">SUM(S7+H7+I7)</f>
        <v>14373159.186926324</v>
      </c>
    </row>
    <row r="8" spans="1:21" x14ac:dyDescent="0.35">
      <c r="A8" s="248" t="s">
        <v>305</v>
      </c>
      <c r="B8" s="248" t="s">
        <v>252</v>
      </c>
      <c r="C8" s="256"/>
      <c r="D8" s="256" t="s">
        <v>283</v>
      </c>
      <c r="E8" s="257">
        <v>1.266594</v>
      </c>
      <c r="F8" s="257">
        <v>1.65</v>
      </c>
      <c r="G8" s="258">
        <f>SUM(H8:S8)</f>
        <v>184480928.27797538</v>
      </c>
      <c r="H8" s="259">
        <v>29554092.356659196</v>
      </c>
      <c r="I8" s="259">
        <v>34972007.467161596</v>
      </c>
      <c r="J8" s="259">
        <v>17381350.826864641</v>
      </c>
      <c r="K8" s="259">
        <v>18607066.965165406</v>
      </c>
      <c r="L8" s="259">
        <v>12804769.82955596</v>
      </c>
      <c r="M8" s="259">
        <v>6033194.6214048257</v>
      </c>
      <c r="N8" s="259">
        <v>15986874.028445426</v>
      </c>
      <c r="O8" s="259">
        <v>10125480.785153514</v>
      </c>
      <c r="P8" s="259">
        <v>8947881.0872461163</v>
      </c>
      <c r="Q8" s="259">
        <v>7365425.421605736</v>
      </c>
      <c r="R8" s="259">
        <v>9851180.8208003324</v>
      </c>
      <c r="S8" s="259">
        <v>12851604.067912629</v>
      </c>
      <c r="T8" s="259">
        <f>G8-U8</f>
        <v>107103224.38624196</v>
      </c>
      <c r="U8" s="259">
        <f t="shared" si="0"/>
        <v>77377703.891733423</v>
      </c>
    </row>
    <row r="9" spans="1:21" x14ac:dyDescent="0.35">
      <c r="C9" s="251" t="s">
        <v>536</v>
      </c>
      <c r="D9" s="251"/>
      <c r="E9" s="252" t="s">
        <v>249</v>
      </c>
      <c r="F9" s="252" t="s">
        <v>250</v>
      </c>
      <c r="G9" s="263">
        <f>('Tariff Rand Values Old'!I16)*0.95</f>
        <v>469675.00360566861</v>
      </c>
      <c r="H9" s="259"/>
      <c r="T9" s="255">
        <f>SUM(T10:T13)</f>
        <v>293514.09366296144</v>
      </c>
      <c r="U9" s="255">
        <f>SUM(U10:U13)</f>
        <v>176160.90994270722</v>
      </c>
    </row>
    <row r="10" spans="1:21" x14ac:dyDescent="0.35">
      <c r="A10" s="248" t="s">
        <v>368</v>
      </c>
      <c r="B10" s="248" t="s">
        <v>368</v>
      </c>
      <c r="C10" s="256"/>
      <c r="D10" s="256" t="s">
        <v>255</v>
      </c>
      <c r="E10" s="257">
        <v>331.53353999999996</v>
      </c>
      <c r="F10" s="257">
        <f>E10</f>
        <v>331.53353999999996</v>
      </c>
      <c r="G10" s="266">
        <f>('Tariff Rand Values Old'!I17)*0.95</f>
        <v>207147.3983452367</v>
      </c>
      <c r="H10" s="249">
        <f>('Tariff Rand Values Old'!J17)*1</f>
        <v>18170.824416248837</v>
      </c>
      <c r="I10" s="259">
        <f>('Tariff Rand Values Old'!K17)*0.95</f>
        <v>17262.283195436394</v>
      </c>
      <c r="J10" s="259">
        <f>('Tariff Rand Values Old'!L17)*0.95</f>
        <v>17262.283195436394</v>
      </c>
      <c r="K10" s="259">
        <f>('Tariff Rand Values Old'!M17)*0.95</f>
        <v>17262.283195436394</v>
      </c>
      <c r="L10" s="259">
        <f>('Tariff Rand Values Old'!N17)*0.95</f>
        <v>17262.283195436394</v>
      </c>
      <c r="M10" s="259">
        <f>('Tariff Rand Values Old'!O17)*0.95</f>
        <v>17262.283195436394</v>
      </c>
      <c r="N10" s="259">
        <f>('Tariff Rand Values Old'!P17)*0.95</f>
        <v>17262.283195436394</v>
      </c>
      <c r="O10" s="259">
        <f>('Tariff Rand Values Old'!Q17)*0.95</f>
        <v>17262.283195436394</v>
      </c>
      <c r="P10" s="259">
        <f>('Tariff Rand Values Old'!R17)*0.95</f>
        <v>17262.283195436394</v>
      </c>
      <c r="Q10" s="259">
        <f>('Tariff Rand Values Old'!S17)*0.95</f>
        <v>17262.283195436394</v>
      </c>
      <c r="R10" s="259">
        <f>('Tariff Rand Values Old'!T17)*0.95</f>
        <v>17262.283195436394</v>
      </c>
      <c r="S10" s="259">
        <f>('Tariff Rand Values Old'!U17)*0.95</f>
        <v>17262.283195436394</v>
      </c>
      <c r="T10" s="259">
        <f>G10-U10</f>
        <v>154452.00753811508</v>
      </c>
      <c r="U10" s="259">
        <f t="shared" si="0"/>
        <v>52695.390807121628</v>
      </c>
    </row>
    <row r="11" spans="1:21" x14ac:dyDescent="0.35">
      <c r="A11" s="248" t="s">
        <v>364</v>
      </c>
      <c r="B11" s="248" t="s">
        <v>358</v>
      </c>
      <c r="C11" s="256"/>
      <c r="D11" s="256" t="s">
        <v>234</v>
      </c>
      <c r="E11" s="257">
        <v>1.6370130000000001</v>
      </c>
      <c r="F11" s="257">
        <v>3.0156999999999998</v>
      </c>
      <c r="G11" s="266">
        <f>('Tariff Rand Values Old'!I18)*0.95</f>
        <v>67467.943950633591</v>
      </c>
      <c r="H11" s="259">
        <f>('Tariff Rand Values Old'!J18)*0.95</f>
        <v>7494.6161917439986</v>
      </c>
      <c r="I11" s="259">
        <f>('Tariff Rand Values Old'!K18)*0.95</f>
        <v>3681.665782502399</v>
      </c>
      <c r="J11" s="259">
        <f>('Tariff Rand Values Old'!L18)*0.95</f>
        <v>1632.0510791039999</v>
      </c>
      <c r="K11" s="259">
        <f>('Tariff Rand Values Old'!M18)*0.95</f>
        <v>1437.0298129728001</v>
      </c>
      <c r="L11" s="259">
        <f>('Tariff Rand Values Old'!N18)*0.95</f>
        <v>1579.6133368511998</v>
      </c>
      <c r="M11" s="259">
        <f>('Tariff Rand Values Old'!O18)*0.95</f>
        <v>1149.9479038416</v>
      </c>
      <c r="N11" s="259">
        <f>('Tariff Rand Values Old'!P18)*0.95</f>
        <v>1273.0882199184002</v>
      </c>
      <c r="O11" s="259">
        <f>('Tariff Rand Values Old'!Q18)*0.95</f>
        <v>4850.9821484799995</v>
      </c>
      <c r="P11" s="259">
        <f>('Tariff Rand Values Old'!R18)*0.95</f>
        <v>5413.9513925535994</v>
      </c>
      <c r="Q11" s="259">
        <f>('Tariff Rand Values Old'!S18)*0.95</f>
        <v>5438.2063032960004</v>
      </c>
      <c r="R11" s="259">
        <f>('Tariff Rand Values Old'!T18)*0.95</f>
        <v>6302.4470702751996</v>
      </c>
      <c r="S11" s="259">
        <f>('Tariff Rand Values Old'!U18)*0.95</f>
        <v>27214.344709094396</v>
      </c>
      <c r="T11" s="259">
        <f>G11-U11</f>
        <v>29077.317267292798</v>
      </c>
      <c r="U11" s="259">
        <f t="shared" si="0"/>
        <v>38390.626683340794</v>
      </c>
    </row>
    <row r="12" spans="1:21" x14ac:dyDescent="0.35">
      <c r="A12" s="248" t="s">
        <v>366</v>
      </c>
      <c r="B12" s="248" t="s">
        <v>360</v>
      </c>
      <c r="C12" s="256"/>
      <c r="D12" s="256" t="s">
        <v>231</v>
      </c>
      <c r="E12" s="257">
        <v>1.230747</v>
      </c>
      <c r="F12" s="257">
        <v>1.6614799999999998</v>
      </c>
      <c r="G12" s="266">
        <f>('Tariff Rand Values Old'!I19)*0.95</f>
        <v>88079.795335537594</v>
      </c>
      <c r="H12" s="259">
        <f>('Tariff Rand Values Old'!J19)*0.95</f>
        <v>6986.5772820479988</v>
      </c>
      <c r="I12" s="259">
        <f>('Tariff Rand Values Old'!K19)*0.95</f>
        <v>3563.9625415679993</v>
      </c>
      <c r="J12" s="259">
        <f>('Tariff Rand Values Old'!L19)*0.95</f>
        <v>2535.4186552799997</v>
      </c>
      <c r="K12" s="259">
        <f>('Tariff Rand Values Old'!M19)*0.95</f>
        <v>2397.3239572799998</v>
      </c>
      <c r="L12" s="259">
        <f>('Tariff Rand Values Old'!N19)*0.95</f>
        <v>2541.2738704752001</v>
      </c>
      <c r="M12" s="259">
        <f>('Tariff Rand Values Old'!O19)*0.95</f>
        <v>1789.4863345632</v>
      </c>
      <c r="N12" s="259">
        <f>('Tariff Rand Values Old'!P19)*0.95</f>
        <v>1923.7143810191999</v>
      </c>
      <c r="O12" s="259">
        <f>('Tariff Rand Values Old'!Q19)*0.95</f>
        <v>8856.4732983999984</v>
      </c>
      <c r="P12" s="259">
        <f>('Tariff Rand Values Old'!R19)*0.95</f>
        <v>9478.8200707199994</v>
      </c>
      <c r="Q12" s="259">
        <f>('Tariff Rand Values Old'!S19)*0.95</f>
        <v>8924.931443355199</v>
      </c>
      <c r="R12" s="259">
        <f>('Tariff Rand Values Old'!T19)*0.95</f>
        <v>11691.502210460798</v>
      </c>
      <c r="S12" s="259">
        <f>('Tariff Rand Values Old'!U19)*0.95</f>
        <v>27390.311290368001</v>
      </c>
      <c r="T12" s="259">
        <f>G12-U12</f>
        <v>50138.944221553596</v>
      </c>
      <c r="U12" s="259">
        <f t="shared" si="0"/>
        <v>37940.851113983997</v>
      </c>
    </row>
    <row r="13" spans="1:21" x14ac:dyDescent="0.35">
      <c r="A13" s="248" t="s">
        <v>362</v>
      </c>
      <c r="B13" s="248" t="s">
        <v>356</v>
      </c>
      <c r="C13" s="256"/>
      <c r="D13" s="256" t="s">
        <v>285</v>
      </c>
      <c r="E13" s="257">
        <v>1.087359</v>
      </c>
      <c r="F13" s="257">
        <v>1.6045799999999997</v>
      </c>
      <c r="G13" s="266">
        <f>('Tariff Rand Values Old'!I20)*0.95</f>
        <v>106979.8659742608</v>
      </c>
      <c r="H13" s="259">
        <f>('Tariff Rand Values Old'!J20)*0.95</f>
        <v>9715.5920637864001</v>
      </c>
      <c r="I13" s="259">
        <f>('Tariff Rand Values Old'!K20)*0.95</f>
        <v>6045.3179603783992</v>
      </c>
      <c r="J13" s="259">
        <f>('Tariff Rand Values Old'!L20)*0.95</f>
        <v>2894.8829742911998</v>
      </c>
      <c r="K13" s="259">
        <f>('Tariff Rand Values Old'!M20)*0.95</f>
        <v>2850.6891345599997</v>
      </c>
      <c r="L13" s="259">
        <f>('Tariff Rand Values Old'!N20)*0.95</f>
        <v>2933.6691289919995</v>
      </c>
      <c r="M13" s="259">
        <f>('Tariff Rand Values Old'!O20)*0.95</f>
        <v>2708.5975485887998</v>
      </c>
      <c r="N13" s="259">
        <f>('Tariff Rand Values Old'!P20)*0.95</f>
        <v>2635.7802725759998</v>
      </c>
      <c r="O13" s="259">
        <f>('Tariff Rand Values Old'!Q20)*0.95</f>
        <v>10973.249600768</v>
      </c>
      <c r="P13" s="259">
        <f>('Tariff Rand Values Old'!R20)*0.95</f>
        <v>11353.03069888</v>
      </c>
      <c r="Q13" s="259">
        <f>('Tariff Rand Values Old'!S20)*0.95</f>
        <v>10934.059423622399</v>
      </c>
      <c r="R13" s="259">
        <f>('Tariff Rand Values Old'!T20)*0.95</f>
        <v>12561.8658537216</v>
      </c>
      <c r="S13" s="259">
        <f>('Tariff Rand Values Old'!U20)*0.95</f>
        <v>31373.131314096001</v>
      </c>
      <c r="T13" s="259">
        <f>G13-U13</f>
        <v>59845.824635999998</v>
      </c>
      <c r="U13" s="259">
        <f t="shared" si="0"/>
        <v>47134.041338260802</v>
      </c>
    </row>
    <row r="14" spans="1:21" x14ac:dyDescent="0.35">
      <c r="C14" s="251" t="s">
        <v>537</v>
      </c>
      <c r="D14" s="251"/>
      <c r="E14" s="252" t="s">
        <v>249</v>
      </c>
      <c r="F14" s="252" t="s">
        <v>250</v>
      </c>
      <c r="G14" s="265">
        <f>'Tariff Rand Values Old'!I16*0.05</f>
        <v>24719.737031877299</v>
      </c>
      <c r="H14" s="262"/>
      <c r="I14" s="262"/>
      <c r="J14" s="262"/>
      <c r="K14" s="262"/>
      <c r="L14" s="262"/>
      <c r="M14" s="262"/>
      <c r="N14" s="262"/>
      <c r="O14" s="262"/>
      <c r="P14" s="262"/>
      <c r="Q14" s="262"/>
      <c r="R14" s="262"/>
      <c r="S14" s="262"/>
      <c r="T14" s="255">
        <f>SUM(T15:T18)</f>
        <v>4166878.7462252458</v>
      </c>
      <c r="U14" s="255">
        <f>SUM(U15:U18)</f>
        <v>2182.0562491060418</v>
      </c>
    </row>
    <row r="15" spans="1:21" x14ac:dyDescent="0.35">
      <c r="A15" s="248" t="s">
        <v>371</v>
      </c>
      <c r="B15" s="248" t="s">
        <v>371</v>
      </c>
      <c r="C15" s="256"/>
      <c r="D15" s="256" t="s">
        <v>255</v>
      </c>
      <c r="E15" s="257">
        <f>+E10/3</f>
        <v>110.51117999999998</v>
      </c>
      <c r="F15" s="257">
        <f>E15</f>
        <v>110.51117999999998</v>
      </c>
      <c r="G15" s="267">
        <f>'Tariff Rand Values Old'!I18*0.05</f>
        <v>3550.9444184543995</v>
      </c>
      <c r="H15" s="262">
        <f>'Tariff Rand Values Old'!J17*0.05</f>
        <v>908.54122081244191</v>
      </c>
      <c r="I15" s="262">
        <f>'Tariff Rand Values Old'!K17*0.05</f>
        <v>908.54122081244191</v>
      </c>
      <c r="J15" s="262">
        <f>'Tariff Rand Values Old'!L17*0.05</f>
        <v>908.54122081244191</v>
      </c>
      <c r="K15" s="262">
        <f>'Tariff Rand Values Old'!M17*0.05</f>
        <v>908.54122081244191</v>
      </c>
      <c r="L15" s="262">
        <f>'Tariff Rand Values Old'!N17*0.05</f>
        <v>908.54122081244191</v>
      </c>
      <c r="M15" s="262">
        <f>'Tariff Rand Values Old'!O17*0.05</f>
        <v>908.54122081244191</v>
      </c>
      <c r="N15" s="262">
        <f>'Tariff Rand Values Old'!P17*0.05</f>
        <v>908.54122081244191</v>
      </c>
      <c r="O15" s="262">
        <f>'Tariff Rand Values Old'!Q17*0.05</f>
        <v>908.54122081244191</v>
      </c>
      <c r="P15" s="262">
        <f>'Tariff Rand Values Old'!R17*0.05</f>
        <v>908.54122081244191</v>
      </c>
      <c r="Q15" s="262">
        <f>'Tariff Rand Values Old'!S17*0.05</f>
        <v>908.54122081244191</v>
      </c>
      <c r="R15" s="262">
        <f>'Tariff Rand Values Old'!T17*0.05</f>
        <v>908.54122081244191</v>
      </c>
      <c r="S15" s="262">
        <f>'Tariff Rand Values Old'!U17*0.05</f>
        <v>908.54122081244191</v>
      </c>
      <c r="T15" s="259">
        <f t="shared" ref="T15:U18" si="1">G15-U15</f>
        <v>2642.4031976419574</v>
      </c>
      <c r="U15" s="259">
        <f t="shared" si="1"/>
        <v>908.54122081244191</v>
      </c>
    </row>
    <row r="16" spans="1:21" x14ac:dyDescent="0.35">
      <c r="A16" s="248" t="s">
        <v>381</v>
      </c>
      <c r="B16" s="248" t="s">
        <v>375</v>
      </c>
      <c r="C16" s="256"/>
      <c r="D16" s="256" t="s">
        <v>234</v>
      </c>
      <c r="E16" s="257">
        <f t="shared" ref="E16:F18" si="2">E11</f>
        <v>1.6370130000000001</v>
      </c>
      <c r="F16" s="257">
        <f t="shared" si="2"/>
        <v>3.0156999999999998</v>
      </c>
      <c r="G16" s="267">
        <f>'Tariff Rand Values Old'!I19*0.05</f>
        <v>4635.7787018703993</v>
      </c>
      <c r="H16" s="262">
        <f>'Tariff Rand Values Old'!J18*0.05</f>
        <v>394.45348377599998</v>
      </c>
      <c r="I16" s="262">
        <f>'Tariff Rand Values Old'!K18*0.05</f>
        <v>193.77188328959997</v>
      </c>
      <c r="J16" s="262">
        <f>'Tariff Rand Values Old'!L18*0.05</f>
        <v>85.897425216000002</v>
      </c>
      <c r="K16" s="262">
        <f>'Tariff Rand Values Old'!M18*0.05</f>
        <v>75.63314805120001</v>
      </c>
      <c r="L16" s="262">
        <f>'Tariff Rand Values Old'!N18*0.05</f>
        <v>83.137544044799995</v>
      </c>
      <c r="M16" s="262">
        <f>'Tariff Rand Values Old'!O18*0.05</f>
        <v>60.523573886400008</v>
      </c>
      <c r="N16" s="262">
        <f>'Tariff Rand Values Old'!P18*0.05</f>
        <v>67.004643153600014</v>
      </c>
      <c r="O16" s="262">
        <f>'Tariff Rand Values Old'!Q18*0.05</f>
        <v>255.31484992000003</v>
      </c>
      <c r="P16" s="262">
        <f>'Tariff Rand Values Old'!R18*0.05</f>
        <v>284.94481013440003</v>
      </c>
      <c r="Q16" s="262">
        <f>'Tariff Rand Values Old'!S18*0.05</f>
        <v>286.22138438400003</v>
      </c>
      <c r="R16" s="262">
        <f>'Tariff Rand Values Old'!T18*0.05</f>
        <v>331.70774054079999</v>
      </c>
      <c r="S16" s="262">
        <f>'Tariff Rand Values Old'!U18*0.05</f>
        <v>1432.3339320575999</v>
      </c>
      <c r="T16" s="259">
        <f t="shared" si="1"/>
        <v>4241.3252180943991</v>
      </c>
      <c r="U16" s="259">
        <f t="shared" si="1"/>
        <v>394.45348377599998</v>
      </c>
    </row>
    <row r="17" spans="1:21" x14ac:dyDescent="0.35">
      <c r="A17" s="248" t="s">
        <v>383</v>
      </c>
      <c r="B17" s="248" t="s">
        <v>377</v>
      </c>
      <c r="C17" s="256"/>
      <c r="D17" s="256" t="s">
        <v>231</v>
      </c>
      <c r="E17" s="257">
        <f t="shared" si="2"/>
        <v>1.230747</v>
      </c>
      <c r="F17" s="257">
        <f t="shared" si="2"/>
        <v>1.6614799999999998</v>
      </c>
      <c r="G17" s="267">
        <f>'Tariff Rand Values Old'!I20*0.05</f>
        <v>5630.5192618032006</v>
      </c>
      <c r="H17" s="262">
        <f>'Tariff Rand Values Old'!J19*0.05</f>
        <v>367.71459379199996</v>
      </c>
      <c r="I17" s="262">
        <f>'Tariff Rand Values Old'!K19*0.05</f>
        <v>187.57697587199999</v>
      </c>
      <c r="J17" s="262">
        <f>'Tariff Rand Values Old'!L19*0.05</f>
        <v>133.44308712</v>
      </c>
      <c r="K17" s="262">
        <f>'Tariff Rand Values Old'!M19*0.05</f>
        <v>126.17494512000002</v>
      </c>
      <c r="L17" s="262">
        <f>'Tariff Rand Values Old'!N19*0.05</f>
        <v>133.75125634080001</v>
      </c>
      <c r="M17" s="262">
        <f>'Tariff Rand Values Old'!O19*0.05</f>
        <v>94.183491292799999</v>
      </c>
      <c r="N17" s="262">
        <f>'Tariff Rand Values Old'!P19*0.05</f>
        <v>101.2481253168</v>
      </c>
      <c r="O17" s="262">
        <f>'Tariff Rand Values Old'!Q19*0.05</f>
        <v>466.13017359999998</v>
      </c>
      <c r="P17" s="262">
        <f>'Tariff Rand Values Old'!R19*0.05</f>
        <v>498.88526688000002</v>
      </c>
      <c r="Q17" s="262">
        <f>'Tariff Rand Values Old'!S19*0.05</f>
        <v>469.73323386080006</v>
      </c>
      <c r="R17" s="262">
        <f>'Tariff Rand Values Old'!T19*0.05</f>
        <v>615.34222160319996</v>
      </c>
      <c r="S17" s="262">
        <f>'Tariff Rand Values Old'!U19*0.05</f>
        <v>1441.5953310720001</v>
      </c>
      <c r="T17" s="259">
        <f t="shared" si="1"/>
        <v>5262.8046680112002</v>
      </c>
      <c r="U17" s="259">
        <f t="shared" si="1"/>
        <v>367.71459379199996</v>
      </c>
    </row>
    <row r="18" spans="1:21" x14ac:dyDescent="0.35">
      <c r="A18" s="248" t="s">
        <v>379</v>
      </c>
      <c r="B18" s="248" t="s">
        <v>373</v>
      </c>
      <c r="C18" s="256"/>
      <c r="D18" s="256" t="s">
        <v>285</v>
      </c>
      <c r="E18" s="257">
        <f t="shared" si="2"/>
        <v>1.087359</v>
      </c>
      <c r="F18" s="257">
        <f t="shared" si="2"/>
        <v>1.6045799999999997</v>
      </c>
      <c r="G18" s="267">
        <f>'Tariff Rand Values Old'!I26*0.05</f>
        <v>4155243.5600922238</v>
      </c>
      <c r="H18" s="262">
        <f>'Tariff Rand Values Old'!J20*0.05</f>
        <v>511.3469507256001</v>
      </c>
      <c r="I18" s="262">
        <f>'Tariff Rand Values Old'!K20*0.05</f>
        <v>318.17462949359998</v>
      </c>
      <c r="J18" s="262">
        <f>'Tariff Rand Values Old'!L20*0.05</f>
        <v>152.3622618048</v>
      </c>
      <c r="K18" s="262">
        <f>'Tariff Rand Values Old'!M20*0.05</f>
        <v>150.03627023999999</v>
      </c>
      <c r="L18" s="262">
        <f>'Tariff Rand Values Old'!N20*0.05</f>
        <v>154.40363836799997</v>
      </c>
      <c r="M18" s="262">
        <f>'Tariff Rand Values Old'!O20*0.05</f>
        <v>142.55776571520002</v>
      </c>
      <c r="N18" s="262">
        <f>'Tariff Rand Values Old'!P20*0.05</f>
        <v>138.72527750399999</v>
      </c>
      <c r="O18" s="262">
        <f>'Tariff Rand Values Old'!Q20*0.05</f>
        <v>577.53945267200004</v>
      </c>
      <c r="P18" s="262">
        <f>'Tariff Rand Values Old'!R20*0.05</f>
        <v>597.52793152000004</v>
      </c>
      <c r="Q18" s="262">
        <f>'Tariff Rand Values Old'!S20*0.05</f>
        <v>575.47681176959998</v>
      </c>
      <c r="R18" s="262">
        <f>'Tariff Rand Values Old'!T20*0.05</f>
        <v>661.15083440640001</v>
      </c>
      <c r="S18" s="262">
        <f>'Tariff Rand Values Old'!U20*0.05</f>
        <v>1651.2174375840002</v>
      </c>
      <c r="T18" s="259">
        <f t="shared" si="1"/>
        <v>4154732.2131414982</v>
      </c>
      <c r="U18" s="259">
        <f t="shared" si="1"/>
        <v>511.3469507256001</v>
      </c>
    </row>
    <row r="19" spans="1:21" x14ac:dyDescent="0.35">
      <c r="C19" s="251" t="s">
        <v>286</v>
      </c>
      <c r="D19" s="251"/>
      <c r="E19" s="252" t="s">
        <v>287</v>
      </c>
      <c r="F19" s="252"/>
      <c r="G19" s="254">
        <f>G20</f>
        <v>66201802.408696681</v>
      </c>
      <c r="H19" s="259"/>
      <c r="I19" s="259"/>
      <c r="J19" s="259"/>
      <c r="K19" s="259"/>
      <c r="L19" s="259"/>
      <c r="M19" s="259"/>
      <c r="N19" s="259"/>
      <c r="O19" s="259"/>
      <c r="P19" s="259"/>
      <c r="Q19" s="259"/>
      <c r="R19" s="259"/>
      <c r="S19" s="259"/>
      <c r="T19" s="255">
        <f>T20</f>
        <v>55739345.351091787</v>
      </c>
      <c r="U19" s="255">
        <f>U20</f>
        <v>10462457.057604894</v>
      </c>
    </row>
    <row r="20" spans="1:21" x14ac:dyDescent="0.35">
      <c r="A20" s="248" t="s">
        <v>313</v>
      </c>
      <c r="B20" s="248" t="s">
        <v>311</v>
      </c>
      <c r="C20" s="256"/>
      <c r="D20" s="256" t="s">
        <v>279</v>
      </c>
      <c r="E20" s="257">
        <v>1.7183799999999998</v>
      </c>
      <c r="F20" s="257">
        <v>1.8435599999999999</v>
      </c>
      <c r="G20" s="258">
        <f>SUM(H20:S20)</f>
        <v>66201802.408696681</v>
      </c>
      <c r="H20" s="259">
        <v>995248.46621601761</v>
      </c>
      <c r="I20" s="259">
        <v>1292072.7878656816</v>
      </c>
      <c r="J20" s="259">
        <v>4437031.9236002611</v>
      </c>
      <c r="K20" s="259">
        <v>4220631.4450419294</v>
      </c>
      <c r="L20" s="259">
        <v>4024574.3014856293</v>
      </c>
      <c r="M20" s="259">
        <v>4001679.8499778556</v>
      </c>
      <c r="N20" s="259">
        <v>4062600.3772659912</v>
      </c>
      <c r="O20" s="259">
        <v>3499924.6372084524</v>
      </c>
      <c r="P20" s="259">
        <v>4432833.7229627585</v>
      </c>
      <c r="Q20" s="259">
        <v>4489303.0440405188</v>
      </c>
      <c r="R20" s="259">
        <v>22570766.049508389</v>
      </c>
      <c r="S20" s="259">
        <v>8175135.803523194</v>
      </c>
      <c r="T20" s="259">
        <f>G20-U20</f>
        <v>55739345.351091787</v>
      </c>
      <c r="U20" s="259">
        <f t="shared" si="0"/>
        <v>10462457.057604894</v>
      </c>
    </row>
    <row r="21" spans="1:21" x14ac:dyDescent="0.35">
      <c r="C21" s="251" t="s">
        <v>288</v>
      </c>
      <c r="D21" s="251"/>
      <c r="E21" s="252" t="s">
        <v>287</v>
      </c>
      <c r="F21" s="252"/>
      <c r="G21" s="254">
        <f>G22</f>
        <v>137486832.76062274</v>
      </c>
      <c r="H21" s="259"/>
      <c r="I21" s="259"/>
      <c r="J21" s="259"/>
      <c r="K21" s="259"/>
      <c r="L21" s="259"/>
      <c r="M21" s="259"/>
      <c r="N21" s="259"/>
      <c r="O21" s="259"/>
      <c r="P21" s="259"/>
      <c r="Q21" s="259"/>
      <c r="R21" s="259"/>
      <c r="S21" s="259"/>
      <c r="T21" s="255">
        <f>SUM(T22:T23)</f>
        <v>92409666.982795894</v>
      </c>
      <c r="U21" s="255">
        <f>SUM(U22:U23)</f>
        <v>45523411.42658031</v>
      </c>
    </row>
    <row r="22" spans="1:21" x14ac:dyDescent="0.35">
      <c r="A22" s="248" t="s">
        <v>313</v>
      </c>
      <c r="B22" s="248" t="s">
        <v>311</v>
      </c>
      <c r="C22" s="256"/>
      <c r="D22" s="256" t="s">
        <v>279</v>
      </c>
      <c r="E22" s="257">
        <f>E20</f>
        <v>1.7183799999999998</v>
      </c>
      <c r="F22" s="257">
        <f>F20</f>
        <v>1.8435599999999999</v>
      </c>
      <c r="G22" s="258">
        <f>SUM(H22:S22)</f>
        <v>137486832.76062274</v>
      </c>
      <c r="H22" s="259">
        <v>17165544.358502891</v>
      </c>
      <c r="I22" s="259">
        <v>20794025.132603593</v>
      </c>
      <c r="J22" s="259">
        <v>7528871.2328541372</v>
      </c>
      <c r="K22" s="259">
        <v>17400824.813456915</v>
      </c>
      <c r="L22" s="259">
        <v>12443586.323245974</v>
      </c>
      <c r="M22" s="259">
        <v>3841193.6198052247</v>
      </c>
      <c r="N22" s="259">
        <v>15596151.81126672</v>
      </c>
      <c r="O22" s="259">
        <v>9788329.2601928897</v>
      </c>
      <c r="P22" s="259">
        <v>9034034.6442953292</v>
      </c>
      <c r="Q22" s="259">
        <v>7245492.6185581358</v>
      </c>
      <c r="R22" s="259">
        <v>9211905.0319671668</v>
      </c>
      <c r="S22" s="259">
        <v>7436873.9138737749</v>
      </c>
      <c r="T22" s="259">
        <f>G22-U22</f>
        <v>92090389.355642483</v>
      </c>
      <c r="U22" s="259">
        <f t="shared" si="0"/>
        <v>45396443.404980257</v>
      </c>
    </row>
    <row r="23" spans="1:21" x14ac:dyDescent="0.35">
      <c r="C23" s="251" t="s">
        <v>538</v>
      </c>
      <c r="D23" s="264"/>
      <c r="E23" s="252" t="s">
        <v>249</v>
      </c>
      <c r="F23" s="252" t="s">
        <v>250</v>
      </c>
      <c r="G23" s="263">
        <f>'Tariff Rand Values Old'!I30*0.95</f>
        <v>446245.64875346422</v>
      </c>
      <c r="H23" s="259"/>
      <c r="I23" s="259"/>
      <c r="J23" s="259"/>
      <c r="K23" s="259"/>
      <c r="L23" s="259"/>
      <c r="M23" s="259"/>
      <c r="N23" s="259"/>
      <c r="O23" s="259"/>
      <c r="P23" s="259"/>
      <c r="Q23" s="259"/>
      <c r="R23" s="259"/>
      <c r="S23" s="259"/>
      <c r="T23" s="255">
        <f>SUM(T24:T27)</f>
        <v>319277.62715341069</v>
      </c>
      <c r="U23" s="255">
        <f>SUM(U24:U27)</f>
        <v>126968.02160005354</v>
      </c>
    </row>
    <row r="24" spans="1:21" x14ac:dyDescent="0.35">
      <c r="A24" s="248" t="s">
        <v>392</v>
      </c>
      <c r="B24" s="248" t="s">
        <v>392</v>
      </c>
      <c r="C24" s="256"/>
      <c r="D24" s="256" t="s">
        <v>255</v>
      </c>
      <c r="E24" s="257">
        <v>397.84479999999996</v>
      </c>
      <c r="F24" s="257">
        <f>E24</f>
        <v>397.84479999999996</v>
      </c>
      <c r="G24" s="266">
        <f>'Tariff Rand Values Old'!I31*0.95</f>
        <v>202138.82876621428</v>
      </c>
      <c r="H24" s="259">
        <f>'Tariff Rand Values Old'!J31*0.95</f>
        <v>16844.90239718452</v>
      </c>
      <c r="I24" s="259">
        <f>'Tariff Rand Values Old'!K31*0.95</f>
        <v>16844.90239718452</v>
      </c>
      <c r="J24" s="259">
        <f>'Tariff Rand Values Old'!L31*0.95</f>
        <v>16844.90239718452</v>
      </c>
      <c r="K24" s="259">
        <f>'Tariff Rand Values Old'!M31*0.95</f>
        <v>16844.90239718452</v>
      </c>
      <c r="L24" s="259">
        <f>'Tariff Rand Values Old'!N31*0.95</f>
        <v>16844.90239718452</v>
      </c>
      <c r="M24" s="259">
        <f>'Tariff Rand Values Old'!O31*0.95</f>
        <v>16844.90239718452</v>
      </c>
      <c r="N24" s="259">
        <f>'Tariff Rand Values Old'!P31*0.95</f>
        <v>16844.90239718452</v>
      </c>
      <c r="O24" s="259">
        <f>'Tariff Rand Values Old'!Q31*0.95</f>
        <v>16844.90239718452</v>
      </c>
      <c r="P24" s="259">
        <f>'Tariff Rand Values Old'!R31*0.95</f>
        <v>16844.90239718452</v>
      </c>
      <c r="Q24" s="259">
        <f>'Tariff Rand Values Old'!S31*0.95</f>
        <v>16844.90239718452</v>
      </c>
      <c r="R24" s="259">
        <f>'Tariff Rand Values Old'!T31*0.95</f>
        <v>16844.90239718452</v>
      </c>
      <c r="S24" s="259">
        <f>'Tariff Rand Values Old'!U31*0.95</f>
        <v>16844.90239718452</v>
      </c>
      <c r="T24" s="259">
        <f>G24-U24</f>
        <v>151604.1215746607</v>
      </c>
      <c r="U24" s="259">
        <f t="shared" si="0"/>
        <v>50534.707191553563</v>
      </c>
    </row>
    <row r="25" spans="1:21" x14ac:dyDescent="0.35">
      <c r="A25" s="248" t="s">
        <v>396</v>
      </c>
      <c r="B25" s="248" t="s">
        <v>388</v>
      </c>
      <c r="C25" s="256"/>
      <c r="D25" s="256" t="s">
        <v>234</v>
      </c>
      <c r="E25" s="257">
        <v>2.079126</v>
      </c>
      <c r="F25" s="257">
        <v>3.0811349999999993</v>
      </c>
      <c r="G25" s="266">
        <f>'Tariff Rand Values Old'!I32*0.95</f>
        <v>64553.558105249991</v>
      </c>
      <c r="H25" s="259">
        <f>'Tariff Rand Values Old'!J32*0.95</f>
        <v>6343.1174625000003</v>
      </c>
      <c r="I25" s="259">
        <f>'Tariff Rand Values Old'!K32*0.95</f>
        <v>6340.6536374999996</v>
      </c>
      <c r="J25" s="259">
        <f>'Tariff Rand Values Old'!L32*0.95</f>
        <v>8792.1585719999985</v>
      </c>
      <c r="K25" s="259">
        <f>'Tariff Rand Values Old'!M32*0.95</f>
        <v>5298.3186629999991</v>
      </c>
      <c r="L25" s="259">
        <f>'Tariff Rand Values Old'!N32*0.95</f>
        <v>4904.3421869999993</v>
      </c>
      <c r="M25" s="259">
        <f>'Tariff Rand Values Old'!O32*0.95</f>
        <v>4509.9501239999991</v>
      </c>
      <c r="N25" s="259">
        <f>'Tariff Rand Values Old'!P32*0.95</f>
        <v>4226.5197899999994</v>
      </c>
      <c r="O25" s="259">
        <f>'Tariff Rand Values Old'!Q32*0.95</f>
        <v>4020.8042249999999</v>
      </c>
      <c r="P25" s="259">
        <f>'Tariff Rand Values Old'!R32*0.95</f>
        <v>3988.3884389999994</v>
      </c>
      <c r="Q25" s="259">
        <f>'Tariff Rand Values Old'!S32*0.95</f>
        <v>4171.2467189999998</v>
      </c>
      <c r="R25" s="259">
        <f>'Tariff Rand Values Old'!T32*0.95</f>
        <v>4972.4984549999999</v>
      </c>
      <c r="S25" s="259">
        <f>'Tariff Rand Values Old'!U32*0.95</f>
        <v>6985.5598312499997</v>
      </c>
      <c r="T25" s="259">
        <f>G25-U25</f>
        <v>44884.227173999992</v>
      </c>
      <c r="U25" s="197">
        <f t="shared" si="0"/>
        <v>19669.330931249999</v>
      </c>
    </row>
    <row r="26" spans="1:21" x14ac:dyDescent="0.35">
      <c r="A26" s="248" t="s">
        <v>398</v>
      </c>
      <c r="B26" s="248" t="s">
        <v>390</v>
      </c>
      <c r="C26" s="256"/>
      <c r="D26" s="256" t="s">
        <v>231</v>
      </c>
      <c r="E26" s="257">
        <v>1.16076</v>
      </c>
      <c r="F26" s="257">
        <v>1.9345999999999999</v>
      </c>
      <c r="G26" s="266">
        <f>'Tariff Rand Values Old'!I33*0.95</f>
        <v>92105.780872499992</v>
      </c>
      <c r="H26" s="259">
        <f>'Tariff Rand Values Old'!J33*0.95</f>
        <v>9438.6617774999977</v>
      </c>
      <c r="I26" s="259">
        <f>'Tariff Rand Values Old'!K33*0.95</f>
        <v>10000.590007499997</v>
      </c>
      <c r="J26" s="259">
        <f>'Tariff Rand Values Old'!L33*0.95</f>
        <v>11499.227381249999</v>
      </c>
      <c r="K26" s="259">
        <f>'Tariff Rand Values Old'!M33*0.95</f>
        <v>7609.7180250000001</v>
      </c>
      <c r="L26" s="259">
        <f>'Tariff Rand Values Old'!N33*0.95</f>
        <v>7077.6964124999995</v>
      </c>
      <c r="M26" s="259">
        <f>'Tariff Rand Values Old'!O33*0.95</f>
        <v>6465.8947499999995</v>
      </c>
      <c r="N26" s="259">
        <f>'Tariff Rand Values Old'!P33*0.95</f>
        <v>6310.5091874999998</v>
      </c>
      <c r="O26" s="259">
        <f>'Tariff Rand Values Old'!Q33*0.95</f>
        <v>6041.2515187499994</v>
      </c>
      <c r="P26" s="259">
        <f>'Tariff Rand Values Old'!R33*0.95</f>
        <v>5881.2275812499993</v>
      </c>
      <c r="Q26" s="259">
        <f>'Tariff Rand Values Old'!S33*0.95</f>
        <v>5634.2341124999994</v>
      </c>
      <c r="R26" s="259">
        <f>'Tariff Rand Values Old'!T33*0.95</f>
        <v>6032.4386062499998</v>
      </c>
      <c r="S26" s="259">
        <f>'Tariff Rand Values Old'!U33*0.95</f>
        <v>10114.331512499999</v>
      </c>
      <c r="T26" s="259">
        <f>G26-U26</f>
        <v>62552.197574999998</v>
      </c>
      <c r="U26" s="259">
        <f t="shared" si="0"/>
        <v>29553.583297499994</v>
      </c>
    </row>
    <row r="27" spans="1:21" x14ac:dyDescent="0.35">
      <c r="A27" s="248" t="s">
        <v>394</v>
      </c>
      <c r="B27" s="248" t="s">
        <v>386</v>
      </c>
      <c r="C27" s="256"/>
      <c r="D27" s="256" t="s">
        <v>285</v>
      </c>
      <c r="E27" s="257">
        <v>0.97867999999999988</v>
      </c>
      <c r="F27" s="257">
        <v>1.8549399999999998</v>
      </c>
      <c r="G27" s="266">
        <f>'Tariff Rand Values Old'!I34*0.95</f>
        <v>87447.481009499999</v>
      </c>
      <c r="H27" s="259">
        <f>'Tariff Rand Values Old'!J34*0.95</f>
        <v>8490.7240612499991</v>
      </c>
      <c r="I27" s="259">
        <f>'Tariff Rand Values Old'!K34*0.95</f>
        <v>10087.693389</v>
      </c>
      <c r="J27" s="259">
        <f>'Tariff Rand Values Old'!L34*0.95</f>
        <v>8588.2643137499999</v>
      </c>
      <c r="K27" s="259">
        <f>'Tariff Rand Values Old'!M34*0.95</f>
        <v>7310.7317497499998</v>
      </c>
      <c r="L27" s="259">
        <f>'Tariff Rand Values Old'!N34*0.95</f>
        <v>7225.2903030000007</v>
      </c>
      <c r="M27" s="259">
        <f>'Tariff Rand Values Old'!O34*0.95</f>
        <v>7699.8454417499988</v>
      </c>
      <c r="N27" s="259">
        <f>'Tariff Rand Values Old'!P34*0.95</f>
        <v>7089.0574672499997</v>
      </c>
      <c r="O27" s="259">
        <f>'Tariff Rand Values Old'!Q34*0.95</f>
        <v>5300.1675292499995</v>
      </c>
      <c r="P27" s="259">
        <f>'Tariff Rand Values Old'!R34*0.95</f>
        <v>5380.4437499999995</v>
      </c>
      <c r="Q27" s="259">
        <f>'Tariff Rand Values Old'!S34*0.95</f>
        <v>5617.1832749999994</v>
      </c>
      <c r="R27" s="259">
        <f>'Tariff Rand Values Old'!T34*0.95</f>
        <v>6026.0969999999998</v>
      </c>
      <c r="S27" s="259">
        <f>'Tariff Rand Values Old'!U34*0.95</f>
        <v>8631.9827294999996</v>
      </c>
      <c r="T27" s="259">
        <f>G27-U27</f>
        <v>60237.080829750004</v>
      </c>
      <c r="U27" s="259">
        <f t="shared" si="0"/>
        <v>27210.400179749999</v>
      </c>
    </row>
    <row r="28" spans="1:21" x14ac:dyDescent="0.35">
      <c r="C28" s="251" t="s">
        <v>539</v>
      </c>
      <c r="D28" s="251"/>
      <c r="E28" s="252" t="s">
        <v>249</v>
      </c>
      <c r="F28" s="252" t="s">
        <v>250</v>
      </c>
      <c r="G28" s="254">
        <f>SUM(G29:G32)</f>
        <v>23486.613092287593</v>
      </c>
      <c r="H28" s="259"/>
      <c r="I28" s="259"/>
      <c r="J28" s="259"/>
      <c r="K28" s="259"/>
      <c r="L28" s="259"/>
      <c r="M28" s="259"/>
      <c r="N28" s="259"/>
      <c r="O28" s="259"/>
      <c r="P28" s="259"/>
      <c r="Q28" s="259"/>
      <c r="R28" s="259"/>
      <c r="S28" s="259"/>
      <c r="T28" s="255">
        <f>SUM(T29:T32)</f>
        <v>21322.539108159461</v>
      </c>
      <c r="U28" s="255">
        <f>SUM(U29:U32)</f>
        <v>2164.0739841281329</v>
      </c>
    </row>
    <row r="29" spans="1:21" x14ac:dyDescent="0.35">
      <c r="A29" s="248" t="s">
        <v>401</v>
      </c>
      <c r="B29" s="248" t="s">
        <v>401</v>
      </c>
      <c r="C29" s="256"/>
      <c r="D29" s="256" t="s">
        <v>255</v>
      </c>
      <c r="E29" s="257">
        <f>E24/3</f>
        <v>132.61493333333331</v>
      </c>
      <c r="F29" s="257">
        <f>E29</f>
        <v>132.61493333333331</v>
      </c>
      <c r="G29" s="266">
        <f>'Tariff Rand Values Old'!I31*0.05</f>
        <v>10638.885724537595</v>
      </c>
      <c r="H29" s="259">
        <f>'Tariff Rand Values Old'!J31*0.05</f>
        <v>886.57381037813275</v>
      </c>
      <c r="I29" s="259">
        <f>'Tariff Rand Values Old'!K31*0.05</f>
        <v>886.57381037813275</v>
      </c>
      <c r="J29" s="259">
        <f>'Tariff Rand Values Old'!L31*0.05</f>
        <v>886.57381037813275</v>
      </c>
      <c r="K29" s="259">
        <f>'Tariff Rand Values Old'!M31*0.05</f>
        <v>886.57381037813275</v>
      </c>
      <c r="L29" s="259">
        <f>'Tariff Rand Values Old'!N31*0.05</f>
        <v>886.57381037813275</v>
      </c>
      <c r="M29" s="259">
        <f>'Tariff Rand Values Old'!O31*0.05</f>
        <v>886.57381037813275</v>
      </c>
      <c r="N29" s="259">
        <f>'Tariff Rand Values Old'!P31*0.05</f>
        <v>886.57381037813275</v>
      </c>
      <c r="O29" s="259">
        <f>'Tariff Rand Values Old'!Q31*0.05</f>
        <v>886.57381037813275</v>
      </c>
      <c r="P29" s="259">
        <f>'Tariff Rand Values Old'!R31*0.05</f>
        <v>886.57381037813275</v>
      </c>
      <c r="Q29" s="259">
        <f>'Tariff Rand Values Old'!S31*0.05</f>
        <v>886.57381037813275</v>
      </c>
      <c r="R29" s="259">
        <f>'Tariff Rand Values Old'!T31*0.05</f>
        <v>886.57381037813275</v>
      </c>
      <c r="S29" s="259">
        <f>'Tariff Rand Values Old'!U31*0.05</f>
        <v>886.57381037813275</v>
      </c>
      <c r="T29" s="259">
        <f t="shared" ref="T29:U32" si="3">G29-U29</f>
        <v>9752.3119141594616</v>
      </c>
      <c r="U29" s="259">
        <f t="shared" si="3"/>
        <v>886.57381037813275</v>
      </c>
    </row>
    <row r="30" spans="1:21" x14ac:dyDescent="0.35">
      <c r="A30" s="248" t="s">
        <v>403</v>
      </c>
      <c r="B30" s="248" t="s">
        <v>411</v>
      </c>
      <c r="C30" s="256"/>
      <c r="D30" s="256" t="s">
        <v>234</v>
      </c>
      <c r="E30" s="257">
        <f t="shared" ref="E30:F32" si="4">+E25</f>
        <v>2.079126</v>
      </c>
      <c r="F30" s="257">
        <f t="shared" si="4"/>
        <v>3.0811349999999993</v>
      </c>
      <c r="G30" s="266">
        <f>'Tariff Rand Values Old'!I32*0.05</f>
        <v>3397.5556897500001</v>
      </c>
      <c r="H30" s="259">
        <f>'Tariff Rand Values Old'!J32*0.05</f>
        <v>333.84828750000003</v>
      </c>
      <c r="I30" s="259">
        <f>'Tariff Rand Values Old'!K32*0.05</f>
        <v>333.71861250000001</v>
      </c>
      <c r="J30" s="259">
        <f>'Tariff Rand Values Old'!L32*0.05</f>
        <v>462.74518799999998</v>
      </c>
      <c r="K30" s="259">
        <f>'Tariff Rand Values Old'!M32*0.05</f>
        <v>278.85887700000001</v>
      </c>
      <c r="L30" s="259">
        <f>'Tariff Rand Values Old'!N32*0.05</f>
        <v>258.12327299999998</v>
      </c>
      <c r="M30" s="259">
        <f>'Tariff Rand Values Old'!O32*0.05</f>
        <v>237.36579599999996</v>
      </c>
      <c r="N30" s="259">
        <f>'Tariff Rand Values Old'!P32*0.05</f>
        <v>222.44840999999997</v>
      </c>
      <c r="O30" s="259">
        <f>'Tariff Rand Values Old'!Q32*0.05</f>
        <v>211.62127500000003</v>
      </c>
      <c r="P30" s="259">
        <f>'Tariff Rand Values Old'!R32*0.05</f>
        <v>209.91518099999999</v>
      </c>
      <c r="Q30" s="259">
        <f>'Tariff Rand Values Old'!S32*0.05</f>
        <v>219.53930099999999</v>
      </c>
      <c r="R30" s="259">
        <f>'Tariff Rand Values Old'!T32*0.05</f>
        <v>261.71044500000005</v>
      </c>
      <c r="S30" s="259">
        <f>'Tariff Rand Values Old'!U32*0.05</f>
        <v>367.66104375000003</v>
      </c>
      <c r="T30" s="259">
        <f t="shared" si="3"/>
        <v>3063.7074022500001</v>
      </c>
      <c r="U30" s="259">
        <f t="shared" si="3"/>
        <v>333.84828750000003</v>
      </c>
    </row>
    <row r="31" spans="1:21" x14ac:dyDescent="0.35">
      <c r="A31" s="248" t="s">
        <v>405</v>
      </c>
      <c r="B31" s="248" t="s">
        <v>413</v>
      </c>
      <c r="C31" s="256"/>
      <c r="D31" s="256" t="s">
        <v>231</v>
      </c>
      <c r="E31" s="257">
        <f t="shared" si="4"/>
        <v>1.16076</v>
      </c>
      <c r="F31" s="257">
        <f t="shared" si="4"/>
        <v>1.9345999999999999</v>
      </c>
      <c r="G31" s="266">
        <f>'Tariff Rand Values Old'!I33*0.05</f>
        <v>4847.6726774999997</v>
      </c>
      <c r="H31" s="259">
        <f>'Tariff Rand Values Old'!J33*0.05</f>
        <v>496.77167249999997</v>
      </c>
      <c r="I31" s="259">
        <f>'Tariff Rand Values Old'!K33*0.05</f>
        <v>526.34684249999998</v>
      </c>
      <c r="J31" s="259">
        <f>'Tariff Rand Values Old'!L33*0.05</f>
        <v>605.2224937499999</v>
      </c>
      <c r="K31" s="259">
        <f>'Tariff Rand Values Old'!M33*0.05</f>
        <v>400.51147500000002</v>
      </c>
      <c r="L31" s="259">
        <f>'Tariff Rand Values Old'!N33*0.05</f>
        <v>372.51033750000005</v>
      </c>
      <c r="M31" s="259">
        <f>'Tariff Rand Values Old'!O33*0.05</f>
        <v>340.31025</v>
      </c>
      <c r="N31" s="259">
        <f>'Tariff Rand Values Old'!P33*0.05</f>
        <v>332.13206250000007</v>
      </c>
      <c r="O31" s="259">
        <f>'Tariff Rand Values Old'!Q33*0.05</f>
        <v>317.96060625000001</v>
      </c>
      <c r="P31" s="259">
        <f>'Tariff Rand Values Old'!R33*0.05</f>
        <v>309.53829374999998</v>
      </c>
      <c r="Q31" s="259">
        <f>'Tariff Rand Values Old'!S33*0.05</f>
        <v>296.53863749999999</v>
      </c>
      <c r="R31" s="259">
        <f>'Tariff Rand Values Old'!T33*0.05</f>
        <v>317.49676875</v>
      </c>
      <c r="S31" s="259">
        <f>'Tariff Rand Values Old'!U33*0.05</f>
        <v>532.3332375</v>
      </c>
      <c r="T31" s="259">
        <f t="shared" si="3"/>
        <v>4350.9010049999997</v>
      </c>
      <c r="U31" s="259">
        <f t="shared" si="3"/>
        <v>496.77167249999997</v>
      </c>
    </row>
    <row r="32" spans="1:21" x14ac:dyDescent="0.35">
      <c r="A32" s="248" t="s">
        <v>407</v>
      </c>
      <c r="B32" s="248" t="s">
        <v>409</v>
      </c>
      <c r="C32" s="256"/>
      <c r="D32" s="256" t="s">
        <v>285</v>
      </c>
      <c r="E32" s="257">
        <f t="shared" si="4"/>
        <v>0.97867999999999988</v>
      </c>
      <c r="F32" s="257">
        <f t="shared" si="4"/>
        <v>1.8549399999999998</v>
      </c>
      <c r="G32" s="266">
        <f>'Tariff Rand Values Old'!I34*0.05</f>
        <v>4602.4990005</v>
      </c>
      <c r="H32" s="259">
        <f>'Tariff Rand Values Old'!J34*0.05</f>
        <v>446.88021375</v>
      </c>
      <c r="I32" s="259">
        <f>'Tariff Rand Values Old'!K34*0.05</f>
        <v>530.93123100000003</v>
      </c>
      <c r="J32" s="259">
        <f>'Tariff Rand Values Old'!L34*0.05</f>
        <v>452.01391125000004</v>
      </c>
      <c r="K32" s="259">
        <f>'Tariff Rand Values Old'!M34*0.05</f>
        <v>384.77535525000008</v>
      </c>
      <c r="L32" s="259">
        <f>'Tariff Rand Values Old'!N34*0.05</f>
        <v>380.27843700000005</v>
      </c>
      <c r="M32" s="259">
        <f>'Tariff Rand Values Old'!O34*0.05</f>
        <v>405.25502325000002</v>
      </c>
      <c r="N32" s="259">
        <f>'Tariff Rand Values Old'!P34*0.05</f>
        <v>373.10828775000004</v>
      </c>
      <c r="O32" s="259">
        <f>'Tariff Rand Values Old'!Q34*0.05</f>
        <v>278.95618574999997</v>
      </c>
      <c r="P32" s="259">
        <f>'Tariff Rand Values Old'!R34*0.05</f>
        <v>283.18125000000003</v>
      </c>
      <c r="Q32" s="259">
        <f>'Tariff Rand Values Old'!S34*0.05</f>
        <v>295.64122500000002</v>
      </c>
      <c r="R32" s="259">
        <f>'Tariff Rand Values Old'!T34*0.05</f>
        <v>317.16300000000001</v>
      </c>
      <c r="S32" s="259">
        <f>'Tariff Rand Values Old'!U34*0.05</f>
        <v>454.31488050000002</v>
      </c>
      <c r="T32" s="259">
        <f t="shared" si="3"/>
        <v>4155.6187867500003</v>
      </c>
      <c r="U32" s="259">
        <f t="shared" si="3"/>
        <v>446.88021375</v>
      </c>
    </row>
    <row r="33" spans="1:21" x14ac:dyDescent="0.35">
      <c r="C33" s="251" t="s">
        <v>254</v>
      </c>
      <c r="D33" s="251"/>
      <c r="E33" s="252" t="s">
        <v>249</v>
      </c>
      <c r="F33" s="252" t="s">
        <v>250</v>
      </c>
      <c r="G33" s="254">
        <f>SUM(G34:G39)</f>
        <v>183767835.84052834</v>
      </c>
      <c r="H33" s="259"/>
      <c r="I33" s="259"/>
      <c r="J33" s="259"/>
      <c r="K33" s="259"/>
      <c r="L33" s="259"/>
      <c r="M33" s="259"/>
      <c r="N33" s="259"/>
      <c r="O33" s="259"/>
      <c r="P33" s="259"/>
      <c r="Q33" s="259"/>
      <c r="R33" s="259"/>
      <c r="S33" s="259"/>
      <c r="T33" s="255">
        <f>SUM(T34:T39)</f>
        <v>121048921.11357108</v>
      </c>
      <c r="U33" s="255">
        <f>SUM(U34:U39)</f>
        <v>62718914.726957254</v>
      </c>
    </row>
    <row r="34" spans="1:21" x14ac:dyDescent="0.35">
      <c r="A34" s="248" t="s">
        <v>256</v>
      </c>
      <c r="B34" s="248" t="s">
        <v>256</v>
      </c>
      <c r="C34" s="256"/>
      <c r="D34" s="256" t="s">
        <v>255</v>
      </c>
      <c r="E34" s="257">
        <v>2784.8794599999997</v>
      </c>
      <c r="F34" s="257">
        <f>E34</f>
        <v>2784.8794599999997</v>
      </c>
      <c r="G34" s="258">
        <f t="shared" ref="G34:G39" si="5">SUM(H34:S34)</f>
        <v>128327.24551679996</v>
      </c>
      <c r="H34" s="259">
        <v>10693.937126399998</v>
      </c>
      <c r="I34" s="259">
        <v>10693.937126399998</v>
      </c>
      <c r="J34" s="259">
        <v>10693.937126399998</v>
      </c>
      <c r="K34" s="259">
        <v>10693.937126399998</v>
      </c>
      <c r="L34" s="259">
        <v>10693.937126399998</v>
      </c>
      <c r="M34" s="259">
        <v>10693.937126399998</v>
      </c>
      <c r="N34" s="259">
        <v>10693.937126399998</v>
      </c>
      <c r="O34" s="259">
        <v>10693.937126399998</v>
      </c>
      <c r="P34" s="259">
        <v>10693.937126399998</v>
      </c>
      <c r="Q34" s="259">
        <v>10693.937126399998</v>
      </c>
      <c r="R34" s="259">
        <v>10693.937126399998</v>
      </c>
      <c r="S34" s="259">
        <v>10693.937126399998</v>
      </c>
      <c r="T34" s="259">
        <f t="shared" ref="T34:T39" si="6">G34-U34</f>
        <v>96245.434137599965</v>
      </c>
      <c r="U34" s="259">
        <f t="shared" si="0"/>
        <v>32081.811379199993</v>
      </c>
    </row>
    <row r="35" spans="1:21" x14ac:dyDescent="0.35">
      <c r="A35" s="248" t="s">
        <v>256</v>
      </c>
      <c r="B35" s="248" t="s">
        <v>256</v>
      </c>
      <c r="C35" s="256"/>
      <c r="D35" s="256" t="s">
        <v>289</v>
      </c>
      <c r="E35" s="257">
        <v>39.23823999999999</v>
      </c>
      <c r="F35" s="257">
        <v>39.23823999999999</v>
      </c>
      <c r="G35" s="258">
        <f t="shared" si="5"/>
        <v>15106153.351348216</v>
      </c>
      <c r="H35" s="259">
        <v>1320200.9081118717</v>
      </c>
      <c r="I35" s="259">
        <v>1246864.4492083194</v>
      </c>
      <c r="J35" s="259">
        <v>1246864.4492083194</v>
      </c>
      <c r="K35" s="259">
        <v>1246864.4492083194</v>
      </c>
      <c r="L35" s="259">
        <v>1250335.9975587835</v>
      </c>
      <c r="M35" s="259">
        <v>1250335.9975587835</v>
      </c>
      <c r="N35" s="259">
        <v>1254964.7286927355</v>
      </c>
      <c r="O35" s="259">
        <v>1255398.6722365436</v>
      </c>
      <c r="P35" s="259">
        <v>1255398.6722365436</v>
      </c>
      <c r="Q35" s="259">
        <v>1255398.6722365436</v>
      </c>
      <c r="R35" s="259">
        <v>1255398.6722365436</v>
      </c>
      <c r="S35" s="259">
        <v>1268127.6828549115</v>
      </c>
      <c r="T35" s="259">
        <f t="shared" si="6"/>
        <v>11270960.311173113</v>
      </c>
      <c r="U35" s="259">
        <f t="shared" si="0"/>
        <v>3835193.0401751027</v>
      </c>
    </row>
    <row r="36" spans="1:21" x14ac:dyDescent="0.35">
      <c r="A36" s="248" t="s">
        <v>257</v>
      </c>
      <c r="B36" s="248" t="s">
        <v>257</v>
      </c>
      <c r="C36" s="256"/>
      <c r="D36" s="256" t="s">
        <v>290</v>
      </c>
      <c r="E36" s="257">
        <v>106.49916099999999</v>
      </c>
      <c r="F36" s="257">
        <v>106.49916099999999</v>
      </c>
      <c r="G36" s="258">
        <f t="shared" si="5"/>
        <v>35758264.626122333</v>
      </c>
      <c r="H36" s="259">
        <v>3341405.8940166137</v>
      </c>
      <c r="I36" s="259">
        <v>3278590.1328789499</v>
      </c>
      <c r="J36" s="259">
        <v>3054808.9838260217</v>
      </c>
      <c r="K36" s="259">
        <v>2832598.2288015354</v>
      </c>
      <c r="L36" s="259">
        <v>2900517.7705316343</v>
      </c>
      <c r="M36" s="259">
        <v>2646506.5364312055</v>
      </c>
      <c r="N36" s="259">
        <v>2871858.0795125752</v>
      </c>
      <c r="O36" s="259">
        <v>2964903.9256977402</v>
      </c>
      <c r="P36" s="259">
        <v>2729344.8214315004</v>
      </c>
      <c r="Q36" s="259">
        <v>2649647.324488089</v>
      </c>
      <c r="R36" s="259">
        <v>3164736.5658169338</v>
      </c>
      <c r="S36" s="259">
        <v>3323346.3626895351</v>
      </c>
      <c r="T36" s="259">
        <f t="shared" si="6"/>
        <v>25814922.236537233</v>
      </c>
      <c r="U36" s="259">
        <f t="shared" si="0"/>
        <v>9943342.3895850983</v>
      </c>
    </row>
    <row r="37" spans="1:21" x14ac:dyDescent="0.35">
      <c r="A37" s="248" t="s">
        <v>435</v>
      </c>
      <c r="B37" s="248" t="s">
        <v>258</v>
      </c>
      <c r="C37" s="256"/>
      <c r="D37" s="256" t="s">
        <v>234</v>
      </c>
      <c r="E37" s="257">
        <v>1.2518</v>
      </c>
      <c r="F37" s="257">
        <v>2.4580799999999998</v>
      </c>
      <c r="G37" s="258">
        <f t="shared" si="5"/>
        <v>36103428.017307639</v>
      </c>
      <c r="H37" s="259">
        <v>6010234.8739706865</v>
      </c>
      <c r="I37" s="259">
        <v>5595110.9884477435</v>
      </c>
      <c r="J37" s="259">
        <v>4503258.690748415</v>
      </c>
      <c r="K37" s="259">
        <v>2475009.0001612799</v>
      </c>
      <c r="L37" s="259">
        <v>2267128.8992563197</v>
      </c>
      <c r="M37" s="259">
        <v>1470605.89142016</v>
      </c>
      <c r="N37" s="259">
        <v>2161306.0775116798</v>
      </c>
      <c r="O37" s="259">
        <v>2294170.6634035194</v>
      </c>
      <c r="P37" s="259">
        <v>1989184.7872511998</v>
      </c>
      <c r="Q37" s="259">
        <v>2126502.4964198396</v>
      </c>
      <c r="R37" s="259">
        <v>2527565.0840985598</v>
      </c>
      <c r="S37" s="259">
        <v>2683350.5646182401</v>
      </c>
      <c r="T37" s="259">
        <f t="shared" si="6"/>
        <v>21814731.59027097</v>
      </c>
      <c r="U37" s="259">
        <f t="shared" si="0"/>
        <v>14288696.427036669</v>
      </c>
    </row>
    <row r="38" spans="1:21" x14ac:dyDescent="0.35">
      <c r="A38" s="248" t="s">
        <v>438</v>
      </c>
      <c r="B38" s="248" t="s">
        <v>259</v>
      </c>
      <c r="C38" s="256"/>
      <c r="D38" s="256" t="s">
        <v>231</v>
      </c>
      <c r="E38" s="257">
        <v>0.81935999999999987</v>
      </c>
      <c r="F38" s="257">
        <v>1.26318</v>
      </c>
      <c r="G38" s="258">
        <f t="shared" si="5"/>
        <v>52231074.234679289</v>
      </c>
      <c r="H38" s="259">
        <v>7275451.1413248004</v>
      </c>
      <c r="I38" s="259">
        <v>7100316.9135820791</v>
      </c>
      <c r="J38" s="259">
        <v>5645738.9098598389</v>
      </c>
      <c r="K38" s="259">
        <v>3873474.7140095993</v>
      </c>
      <c r="L38" s="259">
        <v>3717224.8333516791</v>
      </c>
      <c r="M38" s="259">
        <v>2368196.0454389751</v>
      </c>
      <c r="N38" s="259">
        <v>3475042.0490649589</v>
      </c>
      <c r="O38" s="259">
        <v>3731149.2862771191</v>
      </c>
      <c r="P38" s="259">
        <v>3355068.2377420794</v>
      </c>
      <c r="Q38" s="259">
        <v>3335133.0122956792</v>
      </c>
      <c r="R38" s="259">
        <v>4044283.3502207994</v>
      </c>
      <c r="S38" s="259">
        <v>4309995.7415116793</v>
      </c>
      <c r="T38" s="259">
        <f t="shared" si="6"/>
        <v>33545310.43826073</v>
      </c>
      <c r="U38" s="259">
        <f t="shared" si="0"/>
        <v>18685763.796418559</v>
      </c>
    </row>
    <row r="39" spans="1:21" x14ac:dyDescent="0.35">
      <c r="A39" s="248" t="s">
        <v>491</v>
      </c>
      <c r="B39" s="248" t="s">
        <v>260</v>
      </c>
      <c r="C39" s="256"/>
      <c r="D39" s="256" t="s">
        <v>285</v>
      </c>
      <c r="E39" s="257">
        <v>0.740838</v>
      </c>
      <c r="F39" s="257">
        <v>1.1781144999999997</v>
      </c>
      <c r="G39" s="258">
        <f t="shared" si="5"/>
        <v>44440588.365554057</v>
      </c>
      <c r="H39" s="259">
        <v>5875820.1690808302</v>
      </c>
      <c r="I39" s="259">
        <v>6255528.7721103337</v>
      </c>
      <c r="J39" s="259">
        <v>5055948.3850260461</v>
      </c>
      <c r="K39" s="259">
        <v>2749131.9002972157</v>
      </c>
      <c r="L39" s="259">
        <v>2880248.4203028479</v>
      </c>
      <c r="M39" s="259">
        <v>2637271.8389993468</v>
      </c>
      <c r="N39" s="259">
        <v>2714835.6857954301</v>
      </c>
      <c r="O39" s="259">
        <v>2839201.1114987517</v>
      </c>
      <c r="P39" s="259">
        <v>3452643.9926415361</v>
      </c>
      <c r="Q39" s="259">
        <v>2751453.2717199358</v>
      </c>
      <c r="R39" s="259">
        <v>3426016.496910336</v>
      </c>
      <c r="S39" s="259">
        <v>3802488.321171456</v>
      </c>
      <c r="T39" s="259">
        <f t="shared" si="6"/>
        <v>28506751.103191435</v>
      </c>
      <c r="U39" s="259">
        <f t="shared" si="0"/>
        <v>15933837.26236262</v>
      </c>
    </row>
    <row r="40" spans="1:21" x14ac:dyDescent="0.35">
      <c r="C40" s="251" t="s">
        <v>261</v>
      </c>
      <c r="D40" s="251"/>
      <c r="E40" s="252" t="s">
        <v>249</v>
      </c>
      <c r="F40" s="252" t="s">
        <v>250</v>
      </c>
      <c r="G40" s="254">
        <f>SUM(G41:G46)</f>
        <v>554074041.73050869</v>
      </c>
      <c r="H40" s="259"/>
      <c r="I40" s="259"/>
      <c r="J40" s="259"/>
      <c r="K40" s="259"/>
      <c r="L40" s="259"/>
      <c r="M40" s="259"/>
      <c r="N40" s="259"/>
      <c r="O40" s="259"/>
      <c r="P40" s="259"/>
      <c r="Q40" s="259"/>
      <c r="R40" s="259"/>
      <c r="S40" s="259"/>
      <c r="T40" s="255">
        <f>SUM(T41:T46)</f>
        <v>388793961.31688297</v>
      </c>
      <c r="U40" s="255">
        <f>SUM(U41:U46)</f>
        <v>165280080.41362572</v>
      </c>
    </row>
    <row r="41" spans="1:21" x14ac:dyDescent="0.35">
      <c r="A41" s="248" t="s">
        <v>262</v>
      </c>
      <c r="B41" s="248" t="s">
        <v>262</v>
      </c>
      <c r="C41" s="256"/>
      <c r="D41" s="256" t="s">
        <v>255</v>
      </c>
      <c r="E41" s="257">
        <v>1856.5900999999999</v>
      </c>
      <c r="F41" s="257">
        <f>E41</f>
        <v>1856.5900999999999</v>
      </c>
      <c r="G41" s="258">
        <f t="shared" ref="G41:G46" si="7">SUM(H41:S41)</f>
        <v>3259875.1611839999</v>
      </c>
      <c r="H41" s="259">
        <v>267348.97440000001</v>
      </c>
      <c r="I41" s="259">
        <v>267348.97440000001</v>
      </c>
      <c r="J41" s="259">
        <v>270913.62739199994</v>
      </c>
      <c r="K41" s="259">
        <v>270913.62739199994</v>
      </c>
      <c r="L41" s="259">
        <v>270913.62739199994</v>
      </c>
      <c r="M41" s="259">
        <v>270913.62739199994</v>
      </c>
      <c r="N41" s="259">
        <v>272695.95388799999</v>
      </c>
      <c r="O41" s="259">
        <v>272695.95388799999</v>
      </c>
      <c r="P41" s="259">
        <v>274478.28038399998</v>
      </c>
      <c r="Q41" s="259">
        <v>274478.28038399998</v>
      </c>
      <c r="R41" s="259">
        <v>274478.28038399998</v>
      </c>
      <c r="S41" s="259">
        <v>272695.95388799999</v>
      </c>
      <c r="T41" s="259">
        <f t="shared" ref="T41:T46" si="8">G41-U41</f>
        <v>2452481.258496</v>
      </c>
      <c r="U41" s="259">
        <f t="shared" si="0"/>
        <v>807393.90268799989</v>
      </c>
    </row>
    <row r="42" spans="1:21" x14ac:dyDescent="0.35">
      <c r="A42" s="248" t="s">
        <v>262</v>
      </c>
      <c r="B42" s="248" t="s">
        <v>262</v>
      </c>
      <c r="C42" s="256"/>
      <c r="D42" s="256" t="s">
        <v>289</v>
      </c>
      <c r="E42" s="257">
        <v>42.37912</v>
      </c>
      <c r="F42" s="257">
        <v>42.37912</v>
      </c>
      <c r="G42" s="258">
        <f t="shared" si="7"/>
        <v>50964211.339517944</v>
      </c>
      <c r="H42" s="259">
        <v>4276697.3706240002</v>
      </c>
      <c r="I42" s="259">
        <v>4223970.9646848002</v>
      </c>
      <c r="J42" s="259">
        <v>4244670.9610905591</v>
      </c>
      <c r="K42" s="259">
        <v>4250607.5638333438</v>
      </c>
      <c r="L42" s="259">
        <v>4256544.1665761275</v>
      </c>
      <c r="M42" s="259">
        <v>4262480.7693189122</v>
      </c>
      <c r="N42" s="259">
        <v>4266620.7686000634</v>
      </c>
      <c r="O42" s="259">
        <v>4242718.1312409602</v>
      </c>
      <c r="P42" s="259">
        <v>4240374.7354214396</v>
      </c>
      <c r="Q42" s="259">
        <v>4240374.7354214396</v>
      </c>
      <c r="R42" s="259">
        <v>4234360.0194846718</v>
      </c>
      <c r="S42" s="259">
        <v>4224791.1532216324</v>
      </c>
      <c r="T42" s="259">
        <f t="shared" si="8"/>
        <v>38238751.850987509</v>
      </c>
      <c r="U42" s="259">
        <f t="shared" si="0"/>
        <v>12725459.488530431</v>
      </c>
    </row>
    <row r="43" spans="1:21" x14ac:dyDescent="0.35">
      <c r="A43" s="248" t="s">
        <v>263</v>
      </c>
      <c r="B43" s="248" t="s">
        <v>263</v>
      </c>
      <c r="C43" s="256"/>
      <c r="D43" s="256" t="s">
        <v>290</v>
      </c>
      <c r="E43" s="257">
        <v>115.01909388</v>
      </c>
      <c r="F43" s="257">
        <v>115.01909388</v>
      </c>
      <c r="G43" s="258">
        <f t="shared" si="7"/>
        <v>113895217.83763534</v>
      </c>
      <c r="H43" s="259">
        <v>9253939.4110992383</v>
      </c>
      <c r="I43" s="259">
        <v>9428842.0460169204</v>
      </c>
      <c r="J43" s="259">
        <v>9425661.9981093258</v>
      </c>
      <c r="K43" s="259">
        <v>9312876.298986651</v>
      </c>
      <c r="L43" s="259">
        <v>9860692.5518682189</v>
      </c>
      <c r="M43" s="259">
        <v>9409549.7553775143</v>
      </c>
      <c r="N43" s="259">
        <v>10071529.728141716</v>
      </c>
      <c r="O43" s="259">
        <v>9925565.5291831419</v>
      </c>
      <c r="P43" s="259">
        <v>9451738.3909516018</v>
      </c>
      <c r="Q43" s="259">
        <v>9125253.4724385906</v>
      </c>
      <c r="R43" s="259">
        <v>9190550.4561411943</v>
      </c>
      <c r="S43" s="259">
        <v>9439018.1993212234</v>
      </c>
      <c r="T43" s="259">
        <f t="shared" si="8"/>
        <v>85773418.181197956</v>
      </c>
      <c r="U43" s="259">
        <f t="shared" si="0"/>
        <v>28121799.656437382</v>
      </c>
    </row>
    <row r="44" spans="1:21" x14ac:dyDescent="0.35">
      <c r="A44" s="248" t="s">
        <v>423</v>
      </c>
      <c r="B44" s="248" t="s">
        <v>264</v>
      </c>
      <c r="C44" s="256"/>
      <c r="D44" s="256" t="s">
        <v>234</v>
      </c>
      <c r="E44" s="257">
        <v>1.3086999999999998</v>
      </c>
      <c r="F44" s="257">
        <v>2.5832599999999997</v>
      </c>
      <c r="G44" s="258">
        <f t="shared" si="7"/>
        <v>99663388.090159073</v>
      </c>
      <c r="H44" s="259">
        <v>14976473.409331197</v>
      </c>
      <c r="I44" s="259">
        <v>13904072.492543997</v>
      </c>
      <c r="J44" s="259">
        <v>12438241.259618299</v>
      </c>
      <c r="K44" s="259">
        <v>7083750.7915775981</v>
      </c>
      <c r="L44" s="259">
        <v>6861375.2814796781</v>
      </c>
      <c r="M44" s="259">
        <v>5740698.040565758</v>
      </c>
      <c r="N44" s="259">
        <v>7306583.4127871981</v>
      </c>
      <c r="O44" s="259">
        <v>6642633.7444147179</v>
      </c>
      <c r="P44" s="259">
        <v>5601147.6868300792</v>
      </c>
      <c r="Q44" s="259">
        <v>6183068.2234675195</v>
      </c>
      <c r="R44" s="259">
        <v>6324229.9240243193</v>
      </c>
      <c r="S44" s="259">
        <v>6601113.8235187177</v>
      </c>
      <c r="T44" s="259">
        <f t="shared" si="8"/>
        <v>64181728.36476516</v>
      </c>
      <c r="U44" s="259">
        <f t="shared" si="0"/>
        <v>35481659.725393914</v>
      </c>
    </row>
    <row r="45" spans="1:21" x14ac:dyDescent="0.35">
      <c r="A45" s="248" t="s">
        <v>425</v>
      </c>
      <c r="B45" s="248" t="s">
        <v>265</v>
      </c>
      <c r="C45" s="256"/>
      <c r="D45" s="256" t="s">
        <v>231</v>
      </c>
      <c r="E45" s="257">
        <v>0.86487999999999998</v>
      </c>
      <c r="F45" s="257">
        <v>1.3200799999999997</v>
      </c>
      <c r="G45" s="258">
        <f t="shared" si="7"/>
        <v>156542366.32547325</v>
      </c>
      <c r="H45" s="259">
        <v>18870339.568435196</v>
      </c>
      <c r="I45" s="259">
        <v>18544416.251903996</v>
      </c>
      <c r="J45" s="259">
        <v>16750146.956820475</v>
      </c>
      <c r="K45" s="259">
        <v>12141564.16057344</v>
      </c>
      <c r="L45" s="259">
        <v>12181908.828192767</v>
      </c>
      <c r="M45" s="259">
        <v>10150257.983422464</v>
      </c>
      <c r="N45" s="259">
        <v>12747910.655213566</v>
      </c>
      <c r="O45" s="259">
        <v>11651072.285786113</v>
      </c>
      <c r="P45" s="259">
        <v>10394288.383868929</v>
      </c>
      <c r="Q45" s="259">
        <v>10783894.677405694</v>
      </c>
      <c r="R45" s="259">
        <v>11124278.49970483</v>
      </c>
      <c r="S45" s="259">
        <v>11202288.07414579</v>
      </c>
      <c r="T45" s="259">
        <f t="shared" si="8"/>
        <v>107925322.43098827</v>
      </c>
      <c r="U45" s="259">
        <f t="shared" si="0"/>
        <v>48617043.894484982</v>
      </c>
    </row>
    <row r="46" spans="1:21" x14ac:dyDescent="0.35">
      <c r="A46" s="248" t="s">
        <v>421</v>
      </c>
      <c r="B46" s="248" t="s">
        <v>266</v>
      </c>
      <c r="C46" s="256"/>
      <c r="D46" s="256" t="s">
        <v>285</v>
      </c>
      <c r="E46" s="257">
        <v>0.75819249999999982</v>
      </c>
      <c r="F46" s="257">
        <v>1.20628</v>
      </c>
      <c r="G46" s="258">
        <f t="shared" si="7"/>
        <v>129748982.97653909</v>
      </c>
      <c r="H46" s="259">
        <v>14543137.1096064</v>
      </c>
      <c r="I46" s="259">
        <v>15512323.8371328</v>
      </c>
      <c r="J46" s="259">
        <v>15063176.160018429</v>
      </c>
      <c r="K46" s="259">
        <v>8770293.3606911972</v>
      </c>
      <c r="L46" s="259">
        <v>9201930.9291786216</v>
      </c>
      <c r="M46" s="259">
        <v>10494719.434008572</v>
      </c>
      <c r="N46" s="259">
        <v>9615482.7460323814</v>
      </c>
      <c r="O46" s="259">
        <v>8668698.5741990376</v>
      </c>
      <c r="P46" s="259">
        <v>10964023.831208445</v>
      </c>
      <c r="Q46" s="259">
        <v>8420612.2041000929</v>
      </c>
      <c r="R46" s="259">
        <v>9023321.9910113253</v>
      </c>
      <c r="S46" s="259">
        <v>9471262.7993518058</v>
      </c>
      <c r="T46" s="259">
        <f t="shared" si="8"/>
        <v>90222259.230448082</v>
      </c>
      <c r="U46" s="259">
        <f t="shared" si="0"/>
        <v>39526723.746091008</v>
      </c>
    </row>
    <row r="47" spans="1:21" x14ac:dyDescent="0.35">
      <c r="C47" s="251" t="s">
        <v>267</v>
      </c>
      <c r="D47" s="251"/>
      <c r="E47" s="252" t="s">
        <v>249</v>
      </c>
      <c r="F47" s="252" t="s">
        <v>250</v>
      </c>
      <c r="G47" s="254">
        <f>SUM(G48:G53)</f>
        <v>233852180.81441414</v>
      </c>
      <c r="H47" s="259"/>
      <c r="I47" s="259"/>
      <c r="J47" s="259"/>
      <c r="K47" s="259"/>
      <c r="L47" s="259"/>
      <c r="M47" s="259"/>
      <c r="N47" s="259"/>
      <c r="O47" s="259"/>
      <c r="P47" s="259"/>
      <c r="Q47" s="259"/>
      <c r="R47" s="259"/>
      <c r="S47" s="259"/>
      <c r="T47" s="255">
        <f>SUM(T48:T53)</f>
        <v>163412167.18204346</v>
      </c>
      <c r="U47" s="255">
        <f>SUM(U48:U53)</f>
        <v>70440013.632370681</v>
      </c>
    </row>
    <row r="48" spans="1:21" x14ac:dyDescent="0.35">
      <c r="A48" s="248" t="s">
        <v>268</v>
      </c>
      <c r="B48" s="248" t="s">
        <v>268</v>
      </c>
      <c r="C48" s="256"/>
      <c r="D48" s="256" t="s">
        <v>255</v>
      </c>
      <c r="E48" s="257">
        <v>1392.4340399999999</v>
      </c>
      <c r="F48" s="257">
        <f>E48</f>
        <v>1392.4340399999999</v>
      </c>
      <c r="G48" s="258">
        <f t="shared" ref="G48:G53" si="9">SUM(H48:S48)</f>
        <v>7807878.9385343986</v>
      </c>
      <c r="H48" s="259">
        <v>642970.34231039998</v>
      </c>
      <c r="I48" s="259">
        <v>645643.8156671999</v>
      </c>
      <c r="J48" s="259">
        <v>649654.0257023999</v>
      </c>
      <c r="K48" s="259">
        <v>650990.76238079986</v>
      </c>
      <c r="L48" s="259">
        <v>649654.0257023999</v>
      </c>
      <c r="M48" s="259">
        <v>648317.28902399994</v>
      </c>
      <c r="N48" s="259">
        <v>652327.49905919994</v>
      </c>
      <c r="O48" s="259">
        <v>650990.76238079986</v>
      </c>
      <c r="P48" s="259">
        <v>652327.49905919994</v>
      </c>
      <c r="Q48" s="259">
        <v>655000.97241599986</v>
      </c>
      <c r="R48" s="259">
        <v>655000.97241599986</v>
      </c>
      <c r="S48" s="259">
        <v>655000.97241599986</v>
      </c>
      <c r="T48" s="259">
        <f t="shared" ref="T48:T53" si="10">G48-U48</f>
        <v>5864263.8081407994</v>
      </c>
      <c r="U48" s="259">
        <f t="shared" si="0"/>
        <v>1943615.1303935996</v>
      </c>
    </row>
    <row r="49" spans="1:21" x14ac:dyDescent="0.35">
      <c r="A49" s="248" t="s">
        <v>268</v>
      </c>
      <c r="B49" s="248" t="s">
        <v>268</v>
      </c>
      <c r="C49" s="256"/>
      <c r="D49" s="256" t="s">
        <v>289</v>
      </c>
      <c r="E49" s="257">
        <v>44.279579999999996</v>
      </c>
      <c r="F49" s="257">
        <v>44.279579999999996</v>
      </c>
      <c r="G49" s="258">
        <f t="shared" si="9"/>
        <v>25783349.055528954</v>
      </c>
      <c r="H49" s="259">
        <v>2139525.8263941114</v>
      </c>
      <c r="I49" s="259">
        <v>2089291.1033917437</v>
      </c>
      <c r="J49" s="259">
        <v>2102268.0667668479</v>
      </c>
      <c r="K49" s="259">
        <v>2106593.7212252156</v>
      </c>
      <c r="L49" s="259">
        <v>2161766.2195998714</v>
      </c>
      <c r="M49" s="259">
        <v>2157318.1409587194</v>
      </c>
      <c r="N49" s="259">
        <v>2150748.0431493116</v>
      </c>
      <c r="O49" s="259">
        <v>2146340.7725690873</v>
      </c>
      <c r="P49" s="259">
        <v>2130833.7094164477</v>
      </c>
      <c r="Q49" s="259">
        <v>2159562.5843097595</v>
      </c>
      <c r="R49" s="259">
        <v>2199554.4840191994</v>
      </c>
      <c r="S49" s="259">
        <v>2239546.3837286397</v>
      </c>
      <c r="T49" s="259">
        <f t="shared" si="10"/>
        <v>19314985.74201446</v>
      </c>
      <c r="U49" s="259">
        <f t="shared" si="0"/>
        <v>6468363.3135144953</v>
      </c>
    </row>
    <row r="50" spans="1:21" x14ac:dyDescent="0.35">
      <c r="A50" s="248" t="s">
        <v>269</v>
      </c>
      <c r="B50" s="248" t="s">
        <v>269</v>
      </c>
      <c r="C50" s="256"/>
      <c r="D50" s="256" t="s">
        <v>290</v>
      </c>
      <c r="E50" s="257">
        <v>124.22062139040001</v>
      </c>
      <c r="F50" s="257">
        <v>124.22062139040001</v>
      </c>
      <c r="G50" s="258">
        <f t="shared" si="9"/>
        <v>57510695.761751503</v>
      </c>
      <c r="H50" s="259">
        <v>4735651.0228395602</v>
      </c>
      <c r="I50" s="259">
        <v>4865931.2255178802</v>
      </c>
      <c r="J50" s="259">
        <v>4562325.691684044</v>
      </c>
      <c r="K50" s="259">
        <v>4348702.7934434926</v>
      </c>
      <c r="L50" s="259">
        <v>4840516.2826403873</v>
      </c>
      <c r="M50" s="259">
        <v>4497414.5537942294</v>
      </c>
      <c r="N50" s="259">
        <v>5028037.3476554044</v>
      </c>
      <c r="O50" s="259">
        <v>5017733.9924347987</v>
      </c>
      <c r="P50" s="259">
        <v>4692834.8578117108</v>
      </c>
      <c r="Q50" s="259">
        <v>4599875.6973769171</v>
      </c>
      <c r="R50" s="259">
        <v>4880355.9228267279</v>
      </c>
      <c r="S50" s="259">
        <v>5441316.3737263521</v>
      </c>
      <c r="T50" s="259">
        <f t="shared" si="10"/>
        <v>42467797.139667712</v>
      </c>
      <c r="U50" s="259">
        <f t="shared" si="0"/>
        <v>15042898.622083792</v>
      </c>
    </row>
    <row r="51" spans="1:21" x14ac:dyDescent="0.35">
      <c r="A51" s="248" t="s">
        <v>337</v>
      </c>
      <c r="B51" s="248" t="s">
        <v>330</v>
      </c>
      <c r="C51" s="256"/>
      <c r="D51" s="256" t="s">
        <v>234</v>
      </c>
      <c r="E51" s="257">
        <v>1.3081309999999997</v>
      </c>
      <c r="F51" s="257">
        <v>2.5730179999999994</v>
      </c>
      <c r="G51" s="258">
        <f t="shared" si="9"/>
        <v>39360081.944839671</v>
      </c>
      <c r="H51" s="259">
        <v>5981265.0773471212</v>
      </c>
      <c r="I51" s="259">
        <v>5448357.2002019323</v>
      </c>
      <c r="J51" s="259">
        <v>4622471.2822837234</v>
      </c>
      <c r="K51" s="259">
        <v>2627336.5323955193</v>
      </c>
      <c r="L51" s="259">
        <v>2599677.0589059065</v>
      </c>
      <c r="M51" s="259">
        <v>2141182.9787166715</v>
      </c>
      <c r="N51" s="259">
        <v>2862764.547976396</v>
      </c>
      <c r="O51" s="259">
        <v>2642014.3901183992</v>
      </c>
      <c r="P51" s="259">
        <v>2223260.8357588984</v>
      </c>
      <c r="Q51" s="259">
        <v>2459213.2758251512</v>
      </c>
      <c r="R51" s="259">
        <v>2742764.1699870713</v>
      </c>
      <c r="S51" s="259">
        <v>3009774.595322879</v>
      </c>
      <c r="T51" s="259">
        <f t="shared" si="10"/>
        <v>24920685.07196774</v>
      </c>
      <c r="U51" s="259">
        <f t="shared" si="0"/>
        <v>14439396.872871932</v>
      </c>
    </row>
    <row r="52" spans="1:21" x14ac:dyDescent="0.35">
      <c r="A52" s="248" t="s">
        <v>339</v>
      </c>
      <c r="B52" s="248" t="s">
        <v>332</v>
      </c>
      <c r="C52" s="256"/>
      <c r="D52" s="256" t="s">
        <v>231</v>
      </c>
      <c r="E52" s="257">
        <v>0.86487999999999998</v>
      </c>
      <c r="F52" s="257">
        <v>1.3189419999999998</v>
      </c>
      <c r="G52" s="258">
        <f t="shared" si="9"/>
        <v>59409473.787065536</v>
      </c>
      <c r="H52" s="259">
        <v>7167509.6365836272</v>
      </c>
      <c r="I52" s="259">
        <v>6887321.0770323453</v>
      </c>
      <c r="J52" s="259">
        <v>5923459.839213158</v>
      </c>
      <c r="K52" s="259">
        <v>4375117.6038236162</v>
      </c>
      <c r="L52" s="259">
        <v>4519147.9715758078</v>
      </c>
      <c r="M52" s="259">
        <v>3640816.117923839</v>
      </c>
      <c r="N52" s="259">
        <v>4900267.0274641914</v>
      </c>
      <c r="O52" s="259">
        <v>4521847.6592087038</v>
      </c>
      <c r="P52" s="259">
        <v>3986572.2149928948</v>
      </c>
      <c r="Q52" s="259">
        <v>4115784.1910169595</v>
      </c>
      <c r="R52" s="259">
        <v>4543844.49404928</v>
      </c>
      <c r="S52" s="259">
        <v>4827785.9541811198</v>
      </c>
      <c r="T52" s="259">
        <f t="shared" si="10"/>
        <v>40526857.119268447</v>
      </c>
      <c r="U52" s="259">
        <f t="shared" si="0"/>
        <v>18882616.667797092</v>
      </c>
    </row>
    <row r="53" spans="1:21" x14ac:dyDescent="0.35">
      <c r="A53" s="248" t="s">
        <v>533</v>
      </c>
      <c r="B53" s="248" t="s">
        <v>328</v>
      </c>
      <c r="C53" s="256"/>
      <c r="D53" s="256" t="s">
        <v>285</v>
      </c>
      <c r="E53" s="257">
        <v>0.73514799999999991</v>
      </c>
      <c r="F53" s="257">
        <v>1.200021</v>
      </c>
      <c r="G53" s="258">
        <f t="shared" si="9"/>
        <v>43980701.326694086</v>
      </c>
      <c r="H53" s="259">
        <v>4924856.3236374529</v>
      </c>
      <c r="I53" s="259">
        <v>5178765.6220124159</v>
      </c>
      <c r="J53" s="259">
        <v>4846516.0035858434</v>
      </c>
      <c r="K53" s="259">
        <v>2796643.8016598015</v>
      </c>
      <c r="L53" s="259">
        <v>2994390.6999386107</v>
      </c>
      <c r="M53" s="259">
        <v>3457460.9379778546</v>
      </c>
      <c r="N53" s="259">
        <v>3260964.7275835387</v>
      </c>
      <c r="O53" s="259">
        <v>2940501.3638971387</v>
      </c>
      <c r="P53" s="259">
        <v>3745662.516353433</v>
      </c>
      <c r="Q53" s="259">
        <v>2960275.2407101435</v>
      </c>
      <c r="R53" s="259">
        <v>3315163.009277951</v>
      </c>
      <c r="S53" s="259">
        <v>3559501.0800599027</v>
      </c>
      <c r="T53" s="259">
        <f t="shared" si="10"/>
        <v>30317578.300984316</v>
      </c>
      <c r="U53" s="259">
        <f t="shared" si="0"/>
        <v>13663123.025709772</v>
      </c>
    </row>
    <row r="54" spans="1:21" x14ac:dyDescent="0.35">
      <c r="C54" s="251" t="s">
        <v>291</v>
      </c>
      <c r="D54" s="251"/>
      <c r="E54" s="252" t="s">
        <v>249</v>
      </c>
      <c r="F54" s="252" t="s">
        <v>250</v>
      </c>
      <c r="G54" s="254">
        <f>SUM(G55:G59)</f>
        <v>37717374.966085777</v>
      </c>
      <c r="H54" s="259"/>
      <c r="I54" s="259"/>
      <c r="J54" s="259"/>
      <c r="K54" s="259"/>
      <c r="L54" s="259"/>
      <c r="M54" s="259"/>
      <c r="N54" s="259"/>
      <c r="O54" s="259"/>
      <c r="P54" s="259"/>
      <c r="Q54" s="259"/>
      <c r="R54" s="259"/>
      <c r="S54" s="259"/>
      <c r="T54" s="255">
        <f>SUM(T55:T59)</f>
        <v>24012334.597695548</v>
      </c>
      <c r="U54" s="255">
        <f>SUM(U55:U59)</f>
        <v>13705040.368390229</v>
      </c>
    </row>
    <row r="55" spans="1:21" x14ac:dyDescent="0.35">
      <c r="A55" s="248" t="s">
        <v>520</v>
      </c>
      <c r="B55" s="248" t="s">
        <v>520</v>
      </c>
      <c r="C55" s="256"/>
      <c r="D55" s="256" t="s">
        <v>255</v>
      </c>
      <c r="E55" s="257">
        <v>1768.6687889999998</v>
      </c>
      <c r="F55" s="257">
        <f>E55</f>
        <v>1768.6687889999998</v>
      </c>
      <c r="G55" s="258">
        <f>SUM(H55:S55)</f>
        <v>550126.74013055977</v>
      </c>
      <c r="H55" s="259">
        <v>45843.895010879991</v>
      </c>
      <c r="I55" s="259">
        <v>45843.895010879991</v>
      </c>
      <c r="J55" s="259">
        <v>45843.895010879991</v>
      </c>
      <c r="K55" s="259">
        <v>45843.895010879991</v>
      </c>
      <c r="L55" s="259">
        <v>45843.895010879991</v>
      </c>
      <c r="M55" s="259">
        <v>45843.895010879991</v>
      </c>
      <c r="N55" s="259">
        <v>45843.895010879991</v>
      </c>
      <c r="O55" s="259">
        <v>45843.895010879991</v>
      </c>
      <c r="P55" s="259">
        <v>45843.895010879991</v>
      </c>
      <c r="Q55" s="259">
        <v>45843.895010879991</v>
      </c>
      <c r="R55" s="259">
        <v>45843.895010879991</v>
      </c>
      <c r="S55" s="259">
        <v>45843.895010879991</v>
      </c>
      <c r="T55" s="259">
        <f>G55-U55</f>
        <v>412595.05509791977</v>
      </c>
      <c r="U55" s="259">
        <f t="shared" si="0"/>
        <v>137531.68503263997</v>
      </c>
    </row>
    <row r="56" spans="1:21" x14ac:dyDescent="0.35">
      <c r="A56" s="248" t="s">
        <v>518</v>
      </c>
      <c r="B56" s="248" t="s">
        <v>518</v>
      </c>
      <c r="C56" s="256"/>
      <c r="D56" s="256" t="s">
        <v>290</v>
      </c>
      <c r="E56" s="257">
        <v>46.011615999999997</v>
      </c>
      <c r="F56" s="257">
        <v>46.011615999999997</v>
      </c>
      <c r="G56" s="258">
        <f>SUM(H56:S56)</f>
        <v>3774788.8539992054</v>
      </c>
      <c r="H56" s="259">
        <v>393851.18767841277</v>
      </c>
      <c r="I56" s="259">
        <v>397285.93640816631</v>
      </c>
      <c r="J56" s="259">
        <v>357213.8678943743</v>
      </c>
      <c r="K56" s="259">
        <v>280504.47959654394</v>
      </c>
      <c r="L56" s="259">
        <v>259895.98721802238</v>
      </c>
      <c r="M56" s="259">
        <v>224403.58367723518</v>
      </c>
      <c r="N56" s="259">
        <v>256461.23848826875</v>
      </c>
      <c r="O56" s="259">
        <v>266765.48467752954</v>
      </c>
      <c r="P56" s="259">
        <v>264475.65219102713</v>
      </c>
      <c r="Q56" s="259">
        <v>286229.06081279996</v>
      </c>
      <c r="R56" s="259">
        <v>375532.52778639353</v>
      </c>
      <c r="S56" s="259">
        <v>412169.84757043188</v>
      </c>
      <c r="T56" s="259">
        <f>G56-U56</f>
        <v>2571481.8823421942</v>
      </c>
      <c r="U56" s="259">
        <f t="shared" si="0"/>
        <v>1203306.971657011</v>
      </c>
    </row>
    <row r="57" spans="1:21" x14ac:dyDescent="0.35">
      <c r="A57" s="248" t="s">
        <v>498</v>
      </c>
      <c r="B57" s="248" t="s">
        <v>503</v>
      </c>
      <c r="C57" s="256"/>
      <c r="D57" s="256" t="s">
        <v>234</v>
      </c>
      <c r="E57" s="257">
        <v>1.3428399999999998</v>
      </c>
      <c r="F57" s="257">
        <v>1.9971899999999998</v>
      </c>
      <c r="G57" s="258">
        <f>SUM(H57:S57)</f>
        <v>8553025.9741870053</v>
      </c>
      <c r="H57" s="259">
        <v>1288182.4116295679</v>
      </c>
      <c r="I57" s="259">
        <v>1233466.5891225599</v>
      </c>
      <c r="J57" s="259">
        <v>916204.27224268776</v>
      </c>
      <c r="K57" s="259">
        <v>625479.59155507188</v>
      </c>
      <c r="L57" s="259">
        <v>519055.50377779186</v>
      </c>
      <c r="M57" s="259">
        <v>382792.5744353279</v>
      </c>
      <c r="N57" s="259">
        <v>497068.98894028785</v>
      </c>
      <c r="O57" s="259">
        <v>502482.08225894393</v>
      </c>
      <c r="P57" s="259">
        <v>470872.29041049595</v>
      </c>
      <c r="Q57" s="259">
        <v>570914.27433676773</v>
      </c>
      <c r="R57" s="259">
        <v>715397.08612607978</v>
      </c>
      <c r="S57" s="259">
        <v>831110.30935142376</v>
      </c>
      <c r="T57" s="259">
        <f>G57-U57</f>
        <v>5200266.6640834538</v>
      </c>
      <c r="U57" s="259">
        <f t="shared" si="0"/>
        <v>3352759.3101035515</v>
      </c>
    </row>
    <row r="58" spans="1:21" x14ac:dyDescent="0.35">
      <c r="A58" s="248" t="s">
        <v>496</v>
      </c>
      <c r="B58" s="248" t="s">
        <v>501</v>
      </c>
      <c r="C58" s="256"/>
      <c r="D58" s="256" t="s">
        <v>231</v>
      </c>
      <c r="E58" s="257">
        <v>0.96729999999999994</v>
      </c>
      <c r="F58" s="257">
        <v>1.2495239999999999</v>
      </c>
      <c r="G58" s="258">
        <f>SUM(H58:S58)</f>
        <v>12708840.388412619</v>
      </c>
      <c r="H58" s="259">
        <v>1617538.3027679229</v>
      </c>
      <c r="I58" s="259">
        <v>1663616.8773623803</v>
      </c>
      <c r="J58" s="259">
        <v>1208738.6409811967</v>
      </c>
      <c r="K58" s="259">
        <v>949951.72058111988</v>
      </c>
      <c r="L58" s="259">
        <v>858343.12989695976</v>
      </c>
      <c r="M58" s="259">
        <v>630164.08636415983</v>
      </c>
      <c r="N58" s="259">
        <v>841133.42355455982</v>
      </c>
      <c r="O58" s="259">
        <v>826932.40713215992</v>
      </c>
      <c r="P58" s="259">
        <v>787987.92480767996</v>
      </c>
      <c r="Q58" s="259">
        <v>882797.76156671986</v>
      </c>
      <c r="R58" s="259">
        <v>1122506.1048729599</v>
      </c>
      <c r="S58" s="259">
        <v>1319130.0085247997</v>
      </c>
      <c r="T58" s="259">
        <f>G58-U58</f>
        <v>8108555.1997575164</v>
      </c>
      <c r="U58" s="259">
        <f t="shared" si="0"/>
        <v>4600285.1886551026</v>
      </c>
    </row>
    <row r="59" spans="1:21" x14ac:dyDescent="0.35">
      <c r="A59" s="248" t="s">
        <v>492</v>
      </c>
      <c r="B59" s="248" t="s">
        <v>494</v>
      </c>
      <c r="C59" s="256"/>
      <c r="D59" s="256" t="s">
        <v>285</v>
      </c>
      <c r="E59" s="257">
        <v>0.80797999999999992</v>
      </c>
      <c r="F59" s="257">
        <v>1.1880719999999998</v>
      </c>
      <c r="G59" s="258">
        <f>SUM(H59:S59)</f>
        <v>12130593.009356389</v>
      </c>
      <c r="H59" s="259">
        <v>1529857.4045700093</v>
      </c>
      <c r="I59" s="259">
        <v>1692986.2217146365</v>
      </c>
      <c r="J59" s="259">
        <v>1334770.9485465598</v>
      </c>
      <c r="K59" s="259">
        <v>783356.09977036784</v>
      </c>
      <c r="L59" s="259">
        <v>744412.46695833583</v>
      </c>
      <c r="M59" s="259">
        <v>764618.12053401594</v>
      </c>
      <c r="N59" s="259">
        <v>768458.19996979181</v>
      </c>
      <c r="O59" s="259">
        <v>707318.50591641595</v>
      </c>
      <c r="P59" s="259">
        <v>900528.78538137593</v>
      </c>
      <c r="Q59" s="259">
        <v>764336.64874291187</v>
      </c>
      <c r="R59" s="259">
        <v>951636.02059468778</v>
      </c>
      <c r="S59" s="259">
        <v>1188313.5866572796</v>
      </c>
      <c r="T59" s="259">
        <f>G59-U59</f>
        <v>7719435.7964144638</v>
      </c>
      <c r="U59" s="259">
        <f t="shared" si="0"/>
        <v>4411157.212941925</v>
      </c>
    </row>
    <row r="60" spans="1:21" x14ac:dyDescent="0.35">
      <c r="C60" s="251" t="s">
        <v>292</v>
      </c>
      <c r="D60" s="251"/>
      <c r="E60" s="252" t="s">
        <v>249</v>
      </c>
      <c r="F60" s="252" t="s">
        <v>250</v>
      </c>
      <c r="G60" s="254">
        <f>SUM(G61:G65)</f>
        <v>53728997.930533081</v>
      </c>
      <c r="H60" s="259"/>
      <c r="I60" s="259"/>
      <c r="J60" s="259"/>
      <c r="K60" s="259"/>
      <c r="L60" s="259"/>
      <c r="M60" s="259"/>
      <c r="N60" s="259"/>
      <c r="O60" s="259"/>
      <c r="P60" s="259"/>
      <c r="Q60" s="259"/>
      <c r="R60" s="259"/>
      <c r="S60" s="259"/>
      <c r="T60" s="255">
        <f>SUM(T61:T65)</f>
        <v>34322066.259194411</v>
      </c>
      <c r="U60" s="255">
        <f>SUM(U61:U65)</f>
        <v>19406931.67133867</v>
      </c>
    </row>
    <row r="61" spans="1:21" x14ac:dyDescent="0.35">
      <c r="C61" s="256"/>
      <c r="D61" s="256" t="s">
        <v>255</v>
      </c>
      <c r="E61" s="257">
        <v>1322.8123379999997</v>
      </c>
      <c r="F61" s="257">
        <f>E61</f>
        <v>1322.8123379999997</v>
      </c>
      <c r="G61" s="258">
        <f>SUM(H61:S61)</f>
        <v>2614723.7797843195</v>
      </c>
      <c r="H61" s="259">
        <v>215882.97356159994</v>
      </c>
      <c r="I61" s="259">
        <v>215882.97356159994</v>
      </c>
      <c r="J61" s="259">
        <v>215882.97356159994</v>
      </c>
      <c r="K61" s="259">
        <v>215882.97356159994</v>
      </c>
      <c r="L61" s="259">
        <v>215882.97356159994</v>
      </c>
      <c r="M61" s="259">
        <v>215882.97356159994</v>
      </c>
      <c r="N61" s="259">
        <v>215882.97356159994</v>
      </c>
      <c r="O61" s="259">
        <v>218422.77325055996</v>
      </c>
      <c r="P61" s="259">
        <v>219692.67309503994</v>
      </c>
      <c r="Q61" s="259">
        <v>220962.57293951995</v>
      </c>
      <c r="R61" s="259">
        <v>222232.47278399995</v>
      </c>
      <c r="S61" s="259">
        <v>222232.47278399995</v>
      </c>
      <c r="T61" s="259">
        <f>G61-U61</f>
        <v>1960725.3598771198</v>
      </c>
      <c r="U61" s="259">
        <f t="shared" si="0"/>
        <v>653998.4199071998</v>
      </c>
    </row>
    <row r="62" spans="1:21" x14ac:dyDescent="0.35">
      <c r="A62" s="248" t="s">
        <v>272</v>
      </c>
      <c r="B62" s="248" t="s">
        <v>272</v>
      </c>
      <c r="C62" s="256"/>
      <c r="D62" s="256" t="s">
        <v>290</v>
      </c>
      <c r="E62" s="257">
        <v>50.617101999999988</v>
      </c>
      <c r="F62" s="257">
        <v>50.617101999999988</v>
      </c>
      <c r="G62" s="258">
        <f>SUM(H62:S62)</f>
        <v>6855682.6629070826</v>
      </c>
      <c r="H62" s="259">
        <v>697864.86919987167</v>
      </c>
      <c r="I62" s="259">
        <v>713725.4344089597</v>
      </c>
      <c r="J62" s="259">
        <v>626492.32575897581</v>
      </c>
      <c r="K62" s="259">
        <v>523398.65189990378</v>
      </c>
      <c r="L62" s="259">
        <v>491677.52148172783</v>
      </c>
      <c r="M62" s="259">
        <v>404444.41283174389</v>
      </c>
      <c r="N62" s="259">
        <v>444095.82585446385</v>
      </c>
      <c r="O62" s="259">
        <v>489438.38286397426</v>
      </c>
      <c r="P62" s="259">
        <v>508424.41239367658</v>
      </c>
      <c r="Q62" s="259">
        <v>543830.79178690538</v>
      </c>
      <c r="R62" s="259">
        <v>693899.72789759981</v>
      </c>
      <c r="S62" s="259">
        <v>718390.30652927968</v>
      </c>
      <c r="T62" s="259">
        <f>G62-U62</f>
        <v>4725702.0527689718</v>
      </c>
      <c r="U62" s="259">
        <f t="shared" si="0"/>
        <v>2129980.6101381108</v>
      </c>
    </row>
    <row r="63" spans="1:21" x14ac:dyDescent="0.35">
      <c r="A63" s="248" t="s">
        <v>349</v>
      </c>
      <c r="B63" s="248" t="s">
        <v>345</v>
      </c>
      <c r="C63" s="256"/>
      <c r="D63" s="256" t="s">
        <v>234</v>
      </c>
      <c r="E63" s="257">
        <v>1.4111199999999999</v>
      </c>
      <c r="F63" s="257">
        <v>2.2135522499999998</v>
      </c>
      <c r="G63" s="258">
        <f>SUM(H63:S63)</f>
        <v>11707751.124426238</v>
      </c>
      <c r="H63" s="259">
        <v>1794004.9774133756</v>
      </c>
      <c r="I63" s="259">
        <v>1779092.5061145597</v>
      </c>
      <c r="J63" s="259">
        <v>1303627.4328430076</v>
      </c>
      <c r="K63" s="259">
        <v>848958.69173759979</v>
      </c>
      <c r="L63" s="259">
        <v>688231.35608831991</v>
      </c>
      <c r="M63" s="259">
        <v>481739.84096255997</v>
      </c>
      <c r="N63" s="259">
        <v>627875.69909759995</v>
      </c>
      <c r="O63" s="259">
        <v>672170.32691711991</v>
      </c>
      <c r="P63" s="259">
        <v>640530.74969395192</v>
      </c>
      <c r="Q63" s="259">
        <v>779099.06703974388</v>
      </c>
      <c r="R63" s="259">
        <v>982941.48771839985</v>
      </c>
      <c r="S63" s="259">
        <v>1109478.9887999999</v>
      </c>
      <c r="T63" s="259">
        <f>G63-U63</f>
        <v>7025174.6520983037</v>
      </c>
      <c r="U63" s="259">
        <f t="shared" si="0"/>
        <v>4682576.4723279346</v>
      </c>
    </row>
    <row r="64" spans="1:21" x14ac:dyDescent="0.35">
      <c r="A64" s="248" t="s">
        <v>353</v>
      </c>
      <c r="B64" s="248" t="s">
        <v>273</v>
      </c>
      <c r="C64" s="256"/>
      <c r="D64" s="256" t="s">
        <v>231</v>
      </c>
      <c r="E64" s="257">
        <v>1.0128199999999998</v>
      </c>
      <c r="F64" s="257">
        <v>1.3120001999999999</v>
      </c>
      <c r="G64" s="258">
        <f>SUM(H64:S64)</f>
        <v>16683996.825763425</v>
      </c>
      <c r="H64" s="259">
        <v>2137141.7703917562</v>
      </c>
      <c r="I64" s="259">
        <v>2240740.8328402941</v>
      </c>
      <c r="J64" s="259">
        <v>1602907.716217651</v>
      </c>
      <c r="K64" s="259">
        <v>1266746.7112243196</v>
      </c>
      <c r="L64" s="259">
        <v>1113778.6754457597</v>
      </c>
      <c r="M64" s="259">
        <v>767537.74798847979</v>
      </c>
      <c r="N64" s="259">
        <v>1033010.2831103997</v>
      </c>
      <c r="O64" s="259">
        <v>1064429.0290483199</v>
      </c>
      <c r="P64" s="259">
        <v>1033799.9521259518</v>
      </c>
      <c r="Q64" s="259">
        <v>1172143.2430632957</v>
      </c>
      <c r="R64" s="259">
        <v>1525013.2832255997</v>
      </c>
      <c r="S64" s="259">
        <v>1726747.5810815997</v>
      </c>
      <c r="T64" s="259">
        <f>G64-U64</f>
        <v>10579366.641449776</v>
      </c>
      <c r="U64" s="259">
        <f t="shared" si="0"/>
        <v>6104630.1843136493</v>
      </c>
    </row>
    <row r="65" spans="1:21" x14ac:dyDescent="0.35">
      <c r="A65" s="248" t="s">
        <v>351</v>
      </c>
      <c r="B65" s="248" t="s">
        <v>274</v>
      </c>
      <c r="C65" s="256"/>
      <c r="D65" s="256" t="s">
        <v>285</v>
      </c>
      <c r="E65" s="257">
        <v>0.82817949999999985</v>
      </c>
      <c r="F65" s="257">
        <v>1.2177737999999998</v>
      </c>
      <c r="G65" s="258">
        <f>SUM(H65:S65)</f>
        <v>15866843.537652016</v>
      </c>
      <c r="H65" s="259">
        <v>2031543.1727382522</v>
      </c>
      <c r="I65" s="259">
        <v>2272703.0685253628</v>
      </c>
      <c r="J65" s="259">
        <v>1769777.8428174329</v>
      </c>
      <c r="K65" s="259">
        <v>1034776.4955263997</v>
      </c>
      <c r="L65" s="259">
        <v>970548.98890751984</v>
      </c>
      <c r="M65" s="259">
        <v>937202.58648115175</v>
      </c>
      <c r="N65" s="259">
        <v>931104.21716582379</v>
      </c>
      <c r="O65" s="259">
        <v>909632.46177423338</v>
      </c>
      <c r="P65" s="259">
        <v>1185211.588807065</v>
      </c>
      <c r="Q65" s="259">
        <v>1022337.043323494</v>
      </c>
      <c r="R65" s="259">
        <v>1270506.3281971198</v>
      </c>
      <c r="S65" s="259">
        <v>1531499.7433881597</v>
      </c>
      <c r="T65" s="259">
        <f>G65-U65</f>
        <v>10031097.553000242</v>
      </c>
      <c r="U65" s="259">
        <f t="shared" si="0"/>
        <v>5835745.9846517742</v>
      </c>
    </row>
    <row r="66" spans="1:21" x14ac:dyDescent="0.35">
      <c r="C66" s="251" t="s">
        <v>275</v>
      </c>
      <c r="D66" s="251"/>
      <c r="E66" s="252" t="s">
        <v>249</v>
      </c>
      <c r="F66" s="252" t="s">
        <v>250</v>
      </c>
      <c r="G66" s="254">
        <f>SUM(G67:G69)</f>
        <v>7692529.1152343024</v>
      </c>
      <c r="H66" s="259"/>
      <c r="I66" s="259"/>
      <c r="J66" s="259"/>
      <c r="K66" s="259"/>
      <c r="L66" s="259"/>
      <c r="M66" s="259"/>
      <c r="N66" s="259"/>
      <c r="O66" s="259"/>
      <c r="P66" s="259"/>
      <c r="Q66" s="259"/>
      <c r="R66" s="259"/>
      <c r="S66" s="259"/>
      <c r="T66" s="255">
        <f>SUM(T67:T69)</f>
        <v>5801841.394864127</v>
      </c>
      <c r="U66" s="255">
        <f>SUM(U67:U69)</f>
        <v>1890687.7203701758</v>
      </c>
    </row>
    <row r="67" spans="1:21" x14ac:dyDescent="0.35">
      <c r="A67" s="248" t="s">
        <v>459</v>
      </c>
      <c r="B67" s="248" t="s">
        <v>276</v>
      </c>
      <c r="C67" s="256"/>
      <c r="D67" s="256" t="s">
        <v>234</v>
      </c>
      <c r="E67" s="257">
        <v>2.1963399999999997</v>
      </c>
      <c r="F67" s="257">
        <v>4.1423199999999998</v>
      </c>
      <c r="G67" s="258">
        <f>SUM(H67:S67)</f>
        <v>1817855.8403973118</v>
      </c>
      <c r="H67" s="259">
        <v>151038.027399168</v>
      </c>
      <c r="I67" s="259">
        <v>150824.24392089597</v>
      </c>
      <c r="J67" s="259">
        <v>150931.13566003199</v>
      </c>
      <c r="K67" s="259">
        <v>91163.530063871978</v>
      </c>
      <c r="L67" s="259">
        <v>130085.85165004799</v>
      </c>
      <c r="M67" s="259">
        <v>114797.46978201599</v>
      </c>
      <c r="N67" s="259">
        <v>137783.68247807998</v>
      </c>
      <c r="O67" s="259">
        <v>173528.09336217595</v>
      </c>
      <c r="P67" s="259">
        <v>163567.26625075197</v>
      </c>
      <c r="Q67" s="259">
        <v>191551.09775155198</v>
      </c>
      <c r="R67" s="259">
        <v>189524.92666060795</v>
      </c>
      <c r="S67" s="259">
        <v>173060.51541811193</v>
      </c>
      <c r="T67" s="259">
        <f>G67-U67</f>
        <v>1342933.0536591359</v>
      </c>
      <c r="U67" s="259">
        <f t="shared" si="0"/>
        <v>474922.7867381759</v>
      </c>
    </row>
    <row r="68" spans="1:21" x14ac:dyDescent="0.35">
      <c r="A68" s="248" t="s">
        <v>457</v>
      </c>
      <c r="B68" s="248" t="s">
        <v>277</v>
      </c>
      <c r="C68" s="256"/>
      <c r="D68" s="256" t="s">
        <v>231</v>
      </c>
      <c r="E68" s="257">
        <v>1.3883599999999998</v>
      </c>
      <c r="F68" s="257">
        <v>2.2190999999999996</v>
      </c>
      <c r="G68" s="258">
        <f>SUM(H68:S68)</f>
        <v>2760483.8092861436</v>
      </c>
      <c r="H68" s="259">
        <v>198417.79077119997</v>
      </c>
      <c r="I68" s="259">
        <v>211516.80076799996</v>
      </c>
      <c r="J68" s="259">
        <v>197444.31243263997</v>
      </c>
      <c r="K68" s="259">
        <v>143466.62709657598</v>
      </c>
      <c r="L68" s="259">
        <v>198934.77677875196</v>
      </c>
      <c r="M68" s="259">
        <v>190560.36696883195</v>
      </c>
      <c r="N68" s="259">
        <v>211871.92843468796</v>
      </c>
      <c r="O68" s="259">
        <v>277045.18100582395</v>
      </c>
      <c r="P68" s="259">
        <v>271590.61889433593</v>
      </c>
      <c r="Q68" s="259">
        <v>291053.28468787193</v>
      </c>
      <c r="R68" s="259">
        <v>295809.23293286393</v>
      </c>
      <c r="S68" s="259">
        <v>272772.88851455995</v>
      </c>
      <c r="T68" s="259">
        <f>G68-U68</f>
        <v>2077776.3292323838</v>
      </c>
      <c r="U68" s="259">
        <f t="shared" si="0"/>
        <v>682707.48005375988</v>
      </c>
    </row>
    <row r="69" spans="1:21" x14ac:dyDescent="0.35">
      <c r="A69" s="248" t="s">
        <v>461</v>
      </c>
      <c r="B69" s="248" t="s">
        <v>278</v>
      </c>
      <c r="C69" s="256"/>
      <c r="D69" s="256" t="s">
        <v>285</v>
      </c>
      <c r="E69" s="257">
        <v>1.1835199999999999</v>
      </c>
      <c r="F69" s="257">
        <v>2.1280600000000001</v>
      </c>
      <c r="G69" s="258">
        <f>SUM(H69:S69)</f>
        <v>3114189.4655508474</v>
      </c>
      <c r="H69" s="259">
        <v>198665.71206451199</v>
      </c>
      <c r="I69" s="259">
        <v>236789.86951065596</v>
      </c>
      <c r="J69" s="259">
        <v>233069.43498854397</v>
      </c>
      <c r="K69" s="259">
        <v>132996.22885785595</v>
      </c>
      <c r="L69" s="259">
        <v>198078.02774323197</v>
      </c>
      <c r="M69" s="259">
        <v>280308.31563571194</v>
      </c>
      <c r="N69" s="259">
        <v>228706.87393382395</v>
      </c>
      <c r="O69" s="259">
        <v>265625.97175296</v>
      </c>
      <c r="P69" s="259">
        <v>348887.00141567993</v>
      </c>
      <c r="Q69" s="259">
        <v>339495.79862015997</v>
      </c>
      <c r="R69" s="259">
        <v>353964.35902463994</v>
      </c>
      <c r="S69" s="259">
        <v>297601.87200307194</v>
      </c>
      <c r="T69" s="259">
        <f>G69-U69</f>
        <v>2381132.0119726076</v>
      </c>
      <c r="U69" s="259">
        <f t="shared" si="0"/>
        <v>733057.45357823989</v>
      </c>
    </row>
    <row r="70" spans="1:21" x14ac:dyDescent="0.35">
      <c r="C70" s="251" t="s">
        <v>293</v>
      </c>
      <c r="D70" s="251"/>
      <c r="E70" s="252" t="s">
        <v>249</v>
      </c>
      <c r="F70" s="252" t="s">
        <v>250</v>
      </c>
      <c r="G70" s="254">
        <f>SUM(G71:G73)</f>
        <v>494254.62761472003</v>
      </c>
      <c r="H70" s="259"/>
      <c r="I70" s="259"/>
      <c r="J70" s="259"/>
      <c r="K70" s="259"/>
      <c r="L70" s="259"/>
      <c r="M70" s="259"/>
      <c r="N70" s="259"/>
      <c r="O70" s="259"/>
      <c r="P70" s="259"/>
      <c r="Q70" s="259"/>
      <c r="R70" s="259"/>
      <c r="S70" s="259"/>
      <c r="T70" s="255">
        <f>SUM(T71:T73)</f>
        <v>307104.60214886407</v>
      </c>
      <c r="U70" s="255">
        <f>SUM(U71:U73)</f>
        <v>187150.02546585596</v>
      </c>
    </row>
    <row r="71" spans="1:21" x14ac:dyDescent="0.35">
      <c r="A71" s="248" t="s">
        <v>507</v>
      </c>
      <c r="B71" s="248" t="s">
        <v>443</v>
      </c>
      <c r="C71" s="256"/>
      <c r="D71" s="256" t="s">
        <v>234</v>
      </c>
      <c r="E71" s="257">
        <v>1.3997399999999998</v>
      </c>
      <c r="F71" s="257">
        <v>2.6401599999999994</v>
      </c>
      <c r="G71" s="258">
        <f>SUM(H71:S71)</f>
        <v>141401.74550630397</v>
      </c>
      <c r="H71" s="259">
        <v>26137.127780351992</v>
      </c>
      <c r="I71" s="259">
        <v>23032.401002495993</v>
      </c>
      <c r="J71" s="259">
        <v>16720.754245631997</v>
      </c>
      <c r="K71" s="259">
        <v>8222.462447615997</v>
      </c>
      <c r="L71" s="259">
        <v>8511.4225336319978</v>
      </c>
      <c r="M71" s="259">
        <v>7528.4422410239977</v>
      </c>
      <c r="N71" s="259">
        <v>10350.963081215998</v>
      </c>
      <c r="O71" s="259">
        <v>8539.8025420799968</v>
      </c>
      <c r="P71" s="259">
        <v>6364.8618946559973</v>
      </c>
      <c r="Q71" s="259">
        <v>7138.8621250559981</v>
      </c>
      <c r="R71" s="259">
        <v>8648.1625743359982</v>
      </c>
      <c r="S71" s="259">
        <v>10206.483038207996</v>
      </c>
      <c r="T71" s="259">
        <f>G71-U71</f>
        <v>82025.733685247978</v>
      </c>
      <c r="U71" s="259">
        <f t="shared" si="0"/>
        <v>59376.011821055981</v>
      </c>
    </row>
    <row r="72" spans="1:21" x14ac:dyDescent="0.35">
      <c r="A72" s="248" t="s">
        <v>505</v>
      </c>
      <c r="B72" s="248" t="s">
        <v>445</v>
      </c>
      <c r="C72" s="256"/>
      <c r="D72" s="256" t="s">
        <v>231</v>
      </c>
      <c r="E72" s="257">
        <v>0.89901999999999993</v>
      </c>
      <c r="F72" s="257">
        <v>1.4224999999999999</v>
      </c>
      <c r="G72" s="258">
        <f>SUM(H72:S72)</f>
        <v>200833.19588044804</v>
      </c>
      <c r="H72" s="259">
        <v>31846.228991999993</v>
      </c>
      <c r="I72" s="259">
        <v>28518.971903999995</v>
      </c>
      <c r="J72" s="259">
        <v>21229.945344</v>
      </c>
      <c r="K72" s="259">
        <v>13019.627778047998</v>
      </c>
      <c r="L72" s="259">
        <v>14146.437869568001</v>
      </c>
      <c r="M72" s="259">
        <v>11862.990360575999</v>
      </c>
      <c r="N72" s="259">
        <v>16799.412805631997</v>
      </c>
      <c r="O72" s="259">
        <v>13619.488444415998</v>
      </c>
      <c r="P72" s="259">
        <v>10704.695869439998</v>
      </c>
      <c r="Q72" s="259">
        <v>10969.827655679999</v>
      </c>
      <c r="R72" s="259">
        <v>12928.488726527999</v>
      </c>
      <c r="S72" s="259">
        <v>15187.080130559998</v>
      </c>
      <c r="T72" s="259">
        <f>G72-U72</f>
        <v>125280.91485388805</v>
      </c>
      <c r="U72" s="259">
        <f t="shared" si="0"/>
        <v>75552.281026559984</v>
      </c>
    </row>
    <row r="73" spans="1:21" x14ac:dyDescent="0.35">
      <c r="A73" s="248" t="s">
        <v>509</v>
      </c>
      <c r="B73" s="248" t="s">
        <v>441</v>
      </c>
      <c r="C73" s="256"/>
      <c r="D73" s="256" t="s">
        <v>285</v>
      </c>
      <c r="E73" s="257">
        <v>0.75107999999999997</v>
      </c>
      <c r="F73" s="257">
        <v>1.3655999999999999</v>
      </c>
      <c r="G73" s="258">
        <f>SUM(H73:S73)</f>
        <v>152019.68622796799</v>
      </c>
      <c r="H73" s="259">
        <v>20579.59636992</v>
      </c>
      <c r="I73" s="259">
        <v>20760.82569216</v>
      </c>
      <c r="J73" s="259">
        <v>19575.283875839999</v>
      </c>
      <c r="K73" s="259">
        <v>8479.3927679999997</v>
      </c>
      <c r="L73" s="259">
        <v>9116.2124697599975</v>
      </c>
      <c r="M73" s="259">
        <v>12078.8084736</v>
      </c>
      <c r="N73" s="259">
        <v>11549.971243007998</v>
      </c>
      <c r="O73" s="259">
        <v>9175.7412679680001</v>
      </c>
      <c r="P73" s="259">
        <v>11399.072661503998</v>
      </c>
      <c r="Q73" s="259">
        <v>8750.7333365759987</v>
      </c>
      <c r="R73" s="259">
        <v>9672.7375134719987</v>
      </c>
      <c r="S73" s="259">
        <v>10881.310556159999</v>
      </c>
      <c r="T73" s="259">
        <f>G73-U73</f>
        <v>99797.953609727992</v>
      </c>
      <c r="U73" s="259">
        <f t="shared" si="0"/>
        <v>52221.732618239999</v>
      </c>
    </row>
    <row r="74" spans="1:21" x14ac:dyDescent="0.35">
      <c r="A74" s="248" t="s">
        <v>485</v>
      </c>
      <c r="B74" s="248" t="s">
        <v>485</v>
      </c>
      <c r="C74" s="251" t="s">
        <v>294</v>
      </c>
      <c r="D74" s="251"/>
      <c r="E74" s="252"/>
      <c r="F74" s="252"/>
      <c r="G74" s="254">
        <f>34000000*1.123</f>
        <v>38182000</v>
      </c>
    </row>
    <row r="75" spans="1:21" x14ac:dyDescent="0.35">
      <c r="G75" s="260" t="s">
        <v>295</v>
      </c>
      <c r="H75" s="261">
        <f>SUM(H4:H74)+H78+H79</f>
        <v>209225402.94598657</v>
      </c>
      <c r="I75" s="261">
        <f t="shared" ref="I75:S75" si="11">SUM(I4:I74)+I78+I79</f>
        <v>217659620.64049029</v>
      </c>
      <c r="J75" s="261">
        <f t="shared" si="11"/>
        <v>197100446.07153642</v>
      </c>
      <c r="K75" s="261">
        <f t="shared" si="11"/>
        <v>167373433.05987683</v>
      </c>
      <c r="L75" s="261">
        <f t="shared" si="11"/>
        <v>156055621.05516502</v>
      </c>
      <c r="M75" s="261">
        <f t="shared" si="11"/>
        <v>133350057.6985746</v>
      </c>
      <c r="N75" s="261">
        <f t="shared" si="11"/>
        <v>164586152.30489126</v>
      </c>
      <c r="O75" s="261">
        <f t="shared" si="11"/>
        <v>147951505.33758399</v>
      </c>
      <c r="P75" s="261">
        <f t="shared" si="11"/>
        <v>149705732.81070778</v>
      </c>
      <c r="Q75" s="261">
        <f t="shared" si="11"/>
        <v>144033704.21532649</v>
      </c>
      <c r="R75" s="261">
        <f t="shared" si="11"/>
        <v>186213634.84765849</v>
      </c>
      <c r="S75" s="261">
        <f t="shared" si="11"/>
        <v>168020888.97359586</v>
      </c>
      <c r="T75" s="269">
        <f>SUM(H75:S75)</f>
        <v>2041276199.9613938</v>
      </c>
    </row>
    <row r="76" spans="1:21" x14ac:dyDescent="0.35">
      <c r="G76" s="248" t="s">
        <v>296</v>
      </c>
      <c r="H76" s="259">
        <f>SUM(H4:H5)</f>
        <v>26393707.310324021</v>
      </c>
      <c r="I76" s="259">
        <f t="shared" ref="I76:S76" si="12">SUM(I4:I5)</f>
        <v>25508044.142624352</v>
      </c>
      <c r="J76" s="259">
        <f t="shared" si="12"/>
        <v>47928444.614696495</v>
      </c>
      <c r="K76" s="259">
        <f t="shared" si="12"/>
        <v>37961593.818686999</v>
      </c>
      <c r="L76" s="259">
        <f t="shared" si="12"/>
        <v>37366202.132940069</v>
      </c>
      <c r="M76" s="259">
        <f t="shared" si="12"/>
        <v>38682428.631294057</v>
      </c>
      <c r="N76" s="259">
        <f t="shared" si="12"/>
        <v>37449242.043621898</v>
      </c>
      <c r="O76" s="259">
        <f t="shared" si="12"/>
        <v>36238192.019042715</v>
      </c>
      <c r="P76" s="259">
        <f t="shared" si="12"/>
        <v>40676467.744832121</v>
      </c>
      <c r="Q76" s="259">
        <f t="shared" si="12"/>
        <v>41312749.835607946</v>
      </c>
      <c r="R76" s="259">
        <f t="shared" si="12"/>
        <v>54970906.23612757</v>
      </c>
      <c r="S76" s="259">
        <f t="shared" si="12"/>
        <v>45221552.739485212</v>
      </c>
      <c r="T76" s="259">
        <f>SUM(H76:S76)</f>
        <v>469709531.26928341</v>
      </c>
    </row>
    <row r="77" spans="1:21" x14ac:dyDescent="0.35">
      <c r="G77" s="248" t="s">
        <v>297</v>
      </c>
      <c r="H77" s="259">
        <f>H75-H76-H78-H79</f>
        <v>177423365.30232921</v>
      </c>
      <c r="I77" s="259">
        <f t="shared" ref="I77:S77" si="13">I75-I76-I78-I79</f>
        <v>186743246.1645326</v>
      </c>
      <c r="J77" s="259">
        <f t="shared" si="13"/>
        <v>143763671.12350658</v>
      </c>
      <c r="K77" s="259">
        <f t="shared" si="13"/>
        <v>124003508.90785651</v>
      </c>
      <c r="L77" s="259">
        <f t="shared" si="13"/>
        <v>113281088.58889163</v>
      </c>
      <c r="M77" s="259">
        <f t="shared" si="13"/>
        <v>89259298.733947217</v>
      </c>
      <c r="N77" s="259">
        <f t="shared" si="13"/>
        <v>121728579.92793603</v>
      </c>
      <c r="O77" s="259">
        <f t="shared" si="13"/>
        <v>106304982.98520795</v>
      </c>
      <c r="P77" s="259">
        <f t="shared" si="13"/>
        <v>103620934.73254232</v>
      </c>
      <c r="Q77" s="259">
        <f t="shared" si="13"/>
        <v>97312624.046385214</v>
      </c>
      <c r="R77" s="259">
        <f t="shared" si="13"/>
        <v>125834398.27819759</v>
      </c>
      <c r="S77" s="259">
        <f t="shared" si="13"/>
        <v>117391005.90077733</v>
      </c>
      <c r="T77" s="259">
        <f>SUM(H77:S77)</f>
        <v>1506666704.6921103</v>
      </c>
    </row>
    <row r="78" spans="1:21" x14ac:dyDescent="0.35">
      <c r="G78" s="248" t="s">
        <v>298</v>
      </c>
      <c r="H78" s="249">
        <v>2226497</v>
      </c>
      <c r="I78" s="249">
        <f>H78</f>
        <v>2226497</v>
      </c>
      <c r="J78" s="249">
        <f t="shared" ref="J78:S78" si="14">I78</f>
        <v>2226497</v>
      </c>
      <c r="K78" s="249">
        <f t="shared" si="14"/>
        <v>2226497</v>
      </c>
      <c r="L78" s="249">
        <f t="shared" si="14"/>
        <v>2226497</v>
      </c>
      <c r="M78" s="249">
        <f t="shared" si="14"/>
        <v>2226497</v>
      </c>
      <c r="N78" s="249">
        <f t="shared" si="14"/>
        <v>2226497</v>
      </c>
      <c r="O78" s="249">
        <f t="shared" si="14"/>
        <v>2226497</v>
      </c>
      <c r="P78" s="249">
        <f t="shared" si="14"/>
        <v>2226497</v>
      </c>
      <c r="Q78" s="249">
        <f t="shared" si="14"/>
        <v>2226497</v>
      </c>
      <c r="R78" s="249">
        <f t="shared" si="14"/>
        <v>2226497</v>
      </c>
      <c r="S78" s="249">
        <f t="shared" si="14"/>
        <v>2226497</v>
      </c>
      <c r="T78" s="259">
        <f>SUM(H78:S78)</f>
        <v>26717964</v>
      </c>
    </row>
    <row r="79" spans="1:21" x14ac:dyDescent="0.35">
      <c r="G79" s="248" t="s">
        <v>299</v>
      </c>
      <c r="H79" s="259">
        <f>G74/12</f>
        <v>3181833.3333333335</v>
      </c>
      <c r="I79" s="259">
        <v>3181833.3333333335</v>
      </c>
      <c r="J79" s="259">
        <v>3181833.3333333335</v>
      </c>
      <c r="K79" s="259">
        <v>3181833.3333333335</v>
      </c>
      <c r="L79" s="259">
        <v>3181833.3333333335</v>
      </c>
      <c r="M79" s="259">
        <v>3181833.3333333335</v>
      </c>
      <c r="N79" s="259">
        <v>3181833.3333333335</v>
      </c>
      <c r="O79" s="259">
        <v>3181833.3333333335</v>
      </c>
      <c r="P79" s="259">
        <v>3181833.3333333335</v>
      </c>
      <c r="Q79" s="259">
        <v>3181833.3333333335</v>
      </c>
      <c r="R79" s="259">
        <v>3181833.3333333335</v>
      </c>
      <c r="S79" s="259">
        <v>3181833.3333333335</v>
      </c>
      <c r="T79" s="259">
        <f>SUM(H79:S79)</f>
        <v>38182000</v>
      </c>
    </row>
  </sheetData>
  <mergeCells count="2">
    <mergeCell ref="B2:B3"/>
    <mergeCell ref="A2:A3"/>
  </mergeCells>
  <pageMargins left="0.23622047244094491" right="0.23622047244094491" top="0.15748031496062992" bottom="0.15748031496062992" header="0.31496062992125984" footer="0.31496062992125984"/>
  <pageSetup paperSize="9" scale="45" fitToHeight="0" orientation="landscape" r:id="rId1"/>
  <ignoredErrors>
    <ignoredError sqref="I10" evalErro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I52"/>
  <sheetViews>
    <sheetView zoomScaleSheetLayoutView="100" workbookViewId="0">
      <pane xSplit="3" ySplit="6" topLeftCell="U7" activePane="bottomRight" state="frozen"/>
      <selection activeCell="C1" sqref="C1"/>
      <selection pane="topRight" activeCell="D1" sqref="D1"/>
      <selection pane="bottomLeft" activeCell="C7" sqref="C7"/>
      <selection pane="bottomRight" activeCell="AG30" sqref="AG30"/>
    </sheetView>
  </sheetViews>
  <sheetFormatPr defaultColWidth="108.453125" defaultRowHeight="13.5" customHeight="1" outlineLevelRow="6" x14ac:dyDescent="0.35"/>
  <cols>
    <col min="1" max="1" width="11.6328125" style="5" customWidth="1"/>
    <col min="2" max="2" width="5.453125" style="5" customWidth="1"/>
    <col min="3" max="3" width="2.6328125" style="7" customWidth="1"/>
    <col min="4" max="5" width="2.6328125" style="8" hidden="1" customWidth="1"/>
    <col min="6" max="8" width="3.36328125" style="8" hidden="1" customWidth="1"/>
    <col min="9" max="9" width="4.6328125" style="8" hidden="1" customWidth="1"/>
    <col min="10" max="10" width="3.453125" style="8" hidden="1" customWidth="1"/>
    <col min="11" max="11" width="3.6328125" style="8" hidden="1" customWidth="1"/>
    <col min="12" max="15" width="3.36328125" style="9" hidden="1" customWidth="1"/>
    <col min="16" max="19" width="4.36328125" style="1" hidden="1" customWidth="1"/>
    <col min="20" max="20" width="5.453125" style="2" hidden="1" customWidth="1"/>
    <col min="21" max="21" width="24.36328125" style="2" customWidth="1"/>
    <col min="22" max="22" width="2.36328125" style="10" customWidth="1"/>
    <col min="23" max="29" width="2.36328125" style="1" customWidth="1"/>
    <col min="30" max="32" width="3.36328125" style="1" customWidth="1"/>
    <col min="33" max="33" width="96" style="1" customWidth="1"/>
    <col min="34" max="34" width="9.6328125" style="1" hidden="1" customWidth="1"/>
    <col min="35" max="35" width="8.6328125" style="1" hidden="1" customWidth="1"/>
    <col min="36" max="36" width="9.36328125" style="1" hidden="1" customWidth="1"/>
    <col min="37" max="48" width="4" style="1" hidden="1" customWidth="1"/>
    <col min="49" max="49" width="5.36328125" style="2" hidden="1" customWidth="1"/>
    <col min="50" max="50" width="18" style="2" hidden="1" customWidth="1"/>
    <col min="51" max="51" width="9.6328125" style="2" hidden="1" customWidth="1"/>
    <col min="52" max="52" width="7" style="2" hidden="1" customWidth="1"/>
    <col min="53" max="53" width="8.36328125" style="2" hidden="1" customWidth="1"/>
    <col min="54" max="54" width="8.453125" style="2" hidden="1" customWidth="1"/>
    <col min="55" max="55" width="17.36328125" style="1" hidden="1" customWidth="1"/>
    <col min="56" max="56" width="23.36328125" style="1" hidden="1" customWidth="1"/>
    <col min="57" max="57" width="29.36328125" style="1" hidden="1" customWidth="1"/>
    <col min="58" max="58" width="25" style="1" hidden="1" customWidth="1"/>
    <col min="59" max="59" width="34.453125" style="1" hidden="1" customWidth="1"/>
    <col min="60" max="60" width="11.36328125" style="1" hidden="1" customWidth="1"/>
    <col min="61" max="61" width="25.453125" style="2" hidden="1" customWidth="1"/>
    <col min="62" max="230" width="108.453125" style="18"/>
    <col min="231" max="231" width="2.6328125" style="18" customWidth="1"/>
    <col min="232" max="244" width="108.453125" style="18"/>
    <col min="245" max="245" width="4.453125" style="18" customWidth="1"/>
    <col min="246" max="16384" width="108.453125" style="18"/>
  </cols>
  <sheetData>
    <row r="1" spans="1:61" s="15" customFormat="1" ht="13.5" customHeight="1" x14ac:dyDescent="0.35">
      <c r="A1" s="1207" t="s">
        <v>152</v>
      </c>
      <c r="B1" s="1208"/>
      <c r="C1" s="1208"/>
      <c r="D1" s="1208"/>
      <c r="E1" s="1208"/>
      <c r="F1" s="1208"/>
      <c r="G1" s="1208"/>
      <c r="H1" s="1208"/>
      <c r="I1" s="1208"/>
      <c r="J1" s="1208"/>
      <c r="K1" s="1208"/>
      <c r="L1" s="1208"/>
      <c r="M1" s="1208"/>
      <c r="N1" s="1208"/>
      <c r="O1" s="1208"/>
      <c r="P1" s="1208"/>
      <c r="Q1" s="1208"/>
      <c r="R1" s="1208"/>
      <c r="S1" s="1208"/>
      <c r="T1" s="1208"/>
      <c r="U1" s="1208"/>
      <c r="V1" s="1208"/>
      <c r="W1" s="1208"/>
      <c r="X1" s="1208"/>
      <c r="Y1" s="1208"/>
      <c r="Z1" s="1208"/>
      <c r="AA1" s="1208"/>
      <c r="AB1" s="1208"/>
      <c r="AC1" s="1208"/>
      <c r="AD1" s="1208"/>
      <c r="AE1" s="1208"/>
      <c r="AF1" s="1208"/>
      <c r="AG1" s="1209"/>
      <c r="AH1" s="3"/>
      <c r="AI1" s="3"/>
      <c r="AJ1" s="3"/>
      <c r="AK1" s="3"/>
      <c r="AL1" s="3"/>
      <c r="AM1" s="3"/>
      <c r="AN1" s="3"/>
      <c r="AO1" s="3"/>
      <c r="AP1" s="3"/>
      <c r="AQ1" s="3"/>
      <c r="AR1" s="3"/>
      <c r="AS1" s="3"/>
      <c r="AT1" s="3"/>
      <c r="AU1" s="3"/>
      <c r="AV1" s="3"/>
      <c r="AW1" s="4"/>
      <c r="AX1" s="4"/>
      <c r="AY1" s="4"/>
      <c r="AZ1" s="4"/>
      <c r="BA1" s="4"/>
      <c r="BB1" s="4"/>
      <c r="BC1" s="3"/>
      <c r="BD1" s="3"/>
      <c r="BE1" s="3"/>
      <c r="BF1" s="3"/>
      <c r="BG1" s="3"/>
      <c r="BH1" s="3"/>
      <c r="BI1" s="4"/>
    </row>
    <row r="2" spans="1:61" s="15" customFormat="1" ht="13.5" customHeight="1" x14ac:dyDescent="0.35">
      <c r="A2" s="1216" t="s">
        <v>143</v>
      </c>
      <c r="B2" s="1217"/>
      <c r="C2" s="1217"/>
      <c r="D2" s="1217"/>
      <c r="E2" s="1217"/>
      <c r="F2" s="1217"/>
      <c r="G2" s="1217"/>
      <c r="H2" s="1217"/>
      <c r="I2" s="1217"/>
      <c r="J2" s="1217"/>
      <c r="K2" s="1217"/>
      <c r="L2" s="1217"/>
      <c r="M2" s="1217"/>
      <c r="N2" s="1217"/>
      <c r="O2" s="1217"/>
      <c r="P2" s="1217"/>
      <c r="Q2" s="1217"/>
      <c r="R2" s="1217"/>
      <c r="S2" s="1217"/>
      <c r="T2" s="1217"/>
      <c r="U2" s="1217"/>
      <c r="V2" s="1217"/>
      <c r="W2" s="1217"/>
      <c r="X2" s="1217"/>
      <c r="Y2" s="1217"/>
      <c r="Z2" s="1217"/>
      <c r="AA2" s="1217"/>
      <c r="AB2" s="1217"/>
      <c r="AC2" s="1217"/>
      <c r="AD2" s="1217"/>
      <c r="AE2" s="1217"/>
      <c r="AF2" s="1217"/>
      <c r="AG2" s="1218"/>
      <c r="AH2" s="3"/>
      <c r="AI2" s="3"/>
      <c r="AJ2" s="3"/>
      <c r="AK2" s="3"/>
      <c r="AL2" s="3"/>
      <c r="AM2" s="3"/>
      <c r="AN2" s="3"/>
      <c r="AO2" s="3"/>
      <c r="AP2" s="3"/>
      <c r="AQ2" s="3"/>
      <c r="AR2" s="3"/>
      <c r="AS2" s="3"/>
      <c r="AT2" s="3"/>
      <c r="AU2" s="3"/>
      <c r="AV2" s="3"/>
      <c r="AW2" s="4"/>
      <c r="AX2" s="4"/>
      <c r="AY2" s="4"/>
      <c r="AZ2" s="4"/>
      <c r="BA2" s="4"/>
      <c r="BB2" s="4"/>
      <c r="BC2" s="3"/>
      <c r="BD2" s="3"/>
      <c r="BE2" s="3"/>
      <c r="BF2" s="3"/>
      <c r="BG2" s="3"/>
      <c r="BH2" s="3"/>
      <c r="BI2" s="4"/>
    </row>
    <row r="3" spans="1:61" s="16" customFormat="1" ht="13.5" customHeight="1" x14ac:dyDescent="0.25">
      <c r="A3" s="1206" t="s">
        <v>4</v>
      </c>
      <c r="B3" s="1203"/>
      <c r="C3" s="1203"/>
      <c r="D3" s="1203"/>
      <c r="E3" s="1203"/>
      <c r="F3" s="1203"/>
      <c r="G3" s="1203"/>
      <c r="H3" s="1203"/>
      <c r="I3" s="1203"/>
      <c r="J3" s="1203"/>
      <c r="K3" s="1203"/>
      <c r="L3" s="1203"/>
      <c r="M3" s="1203"/>
      <c r="N3" s="1203"/>
      <c r="O3" s="1203"/>
      <c r="P3" s="1203"/>
      <c r="Q3" s="1203"/>
      <c r="R3" s="1203"/>
      <c r="S3" s="1203"/>
      <c r="T3" s="1203"/>
      <c r="U3" s="1213" t="s">
        <v>0</v>
      </c>
      <c r="V3" s="1219" t="s">
        <v>5</v>
      </c>
      <c r="W3" s="1220"/>
      <c r="X3" s="1220"/>
      <c r="Y3" s="1220"/>
      <c r="Z3" s="1220"/>
      <c r="AA3" s="1220"/>
      <c r="AB3" s="1220"/>
      <c r="AC3" s="1220"/>
      <c r="AD3" s="1220"/>
      <c r="AE3" s="1220"/>
      <c r="AF3" s="1220"/>
      <c r="AG3" s="1221"/>
      <c r="AH3" s="11"/>
      <c r="AI3" s="11"/>
      <c r="AJ3" s="11"/>
      <c r="AK3" s="11"/>
      <c r="AL3" s="11"/>
      <c r="AM3" s="11"/>
      <c r="AN3" s="11"/>
      <c r="AO3" s="11"/>
      <c r="AP3" s="11"/>
      <c r="AQ3" s="11"/>
      <c r="AR3" s="11"/>
      <c r="AS3" s="11"/>
      <c r="AT3" s="11"/>
      <c r="AU3" s="11"/>
      <c r="AV3" s="11"/>
      <c r="AW3" s="1203" t="s">
        <v>91</v>
      </c>
      <c r="AX3" s="1203"/>
      <c r="AY3" s="1203"/>
      <c r="AZ3" s="1203"/>
      <c r="BA3" s="1203"/>
      <c r="BB3" s="1203"/>
      <c r="BC3" s="1203" t="s">
        <v>122</v>
      </c>
      <c r="BD3" s="1203"/>
      <c r="BE3" s="1203"/>
      <c r="BF3" s="1203" t="s">
        <v>122</v>
      </c>
      <c r="BG3" s="1203"/>
      <c r="BH3" s="1203"/>
      <c r="BI3" s="12"/>
    </row>
    <row r="4" spans="1:61" s="16" customFormat="1" ht="13.5" customHeight="1" x14ac:dyDescent="0.25">
      <c r="A4" s="1206"/>
      <c r="B4" s="1203"/>
      <c r="C4" s="1203"/>
      <c r="D4" s="1203"/>
      <c r="E4" s="1203"/>
      <c r="F4" s="1203"/>
      <c r="G4" s="1203"/>
      <c r="H4" s="1203"/>
      <c r="I4" s="1203"/>
      <c r="J4" s="1203"/>
      <c r="K4" s="1203"/>
      <c r="L4" s="1203"/>
      <c r="M4" s="1203"/>
      <c r="N4" s="1203"/>
      <c r="O4" s="1203"/>
      <c r="P4" s="1203"/>
      <c r="Q4" s="1203"/>
      <c r="R4" s="1203"/>
      <c r="S4" s="1203"/>
      <c r="T4" s="1203"/>
      <c r="U4" s="1215"/>
      <c r="V4" s="1222"/>
      <c r="W4" s="1223"/>
      <c r="X4" s="1223"/>
      <c r="Y4" s="1223"/>
      <c r="Z4" s="1223"/>
      <c r="AA4" s="1223"/>
      <c r="AB4" s="1223"/>
      <c r="AC4" s="1223"/>
      <c r="AD4" s="1223"/>
      <c r="AE4" s="1223"/>
      <c r="AF4" s="1223"/>
      <c r="AG4" s="1224"/>
      <c r="AH4" s="1206" t="s">
        <v>120</v>
      </c>
      <c r="AI4" s="1206"/>
      <c r="AJ4" s="1206" t="s">
        <v>121</v>
      </c>
      <c r="AK4" s="1206"/>
      <c r="AL4" s="1206"/>
      <c r="AM4" s="1206"/>
      <c r="AN4" s="1206"/>
      <c r="AO4" s="1206"/>
      <c r="AP4" s="1206"/>
      <c r="AQ4" s="1206"/>
      <c r="AR4" s="1206"/>
      <c r="AS4" s="1206"/>
      <c r="AT4" s="1206"/>
      <c r="AU4" s="1206"/>
      <c r="AV4" s="1206"/>
      <c r="AW4" s="1203" t="s">
        <v>93</v>
      </c>
      <c r="AX4" s="1203" t="s">
        <v>94</v>
      </c>
      <c r="AY4" s="1203" t="s">
        <v>96</v>
      </c>
      <c r="AZ4" s="1203" t="s">
        <v>109</v>
      </c>
      <c r="BA4" s="1203" t="s">
        <v>92</v>
      </c>
      <c r="BB4" s="1203"/>
      <c r="BC4" s="12" t="s">
        <v>112</v>
      </c>
      <c r="BD4" s="11" t="s">
        <v>113</v>
      </c>
      <c r="BE4" s="11" t="s">
        <v>114</v>
      </c>
      <c r="BF4" s="12" t="s">
        <v>112</v>
      </c>
      <c r="BG4" s="11" t="s">
        <v>113</v>
      </c>
      <c r="BH4" s="11" t="s">
        <v>114</v>
      </c>
      <c r="BI4" s="12"/>
    </row>
    <row r="5" spans="1:61" s="17" customFormat="1" ht="13.5" customHeight="1" x14ac:dyDescent="0.25">
      <c r="A5" s="1213" t="s">
        <v>1</v>
      </c>
      <c r="B5" s="1213" t="s">
        <v>125</v>
      </c>
      <c r="C5" s="1210" t="s">
        <v>153</v>
      </c>
      <c r="D5" s="1211"/>
      <c r="E5" s="1211"/>
      <c r="F5" s="1211"/>
      <c r="G5" s="1211"/>
      <c r="H5" s="1211"/>
      <c r="I5" s="1211"/>
      <c r="J5" s="1211"/>
      <c r="K5" s="1211"/>
      <c r="L5" s="1211"/>
      <c r="M5" s="1211"/>
      <c r="N5" s="1211"/>
      <c r="O5" s="1212"/>
      <c r="P5" s="1213" t="s">
        <v>3</v>
      </c>
      <c r="Q5" s="1213" t="s">
        <v>118</v>
      </c>
      <c r="R5" s="1213" t="s">
        <v>119</v>
      </c>
      <c r="S5" s="1213" t="s">
        <v>154</v>
      </c>
      <c r="T5" s="1213" t="s">
        <v>139</v>
      </c>
      <c r="U5" s="1215"/>
      <c r="V5" s="1204">
        <v>1</v>
      </c>
      <c r="W5" s="1204">
        <v>2</v>
      </c>
      <c r="X5" s="1204">
        <v>3</v>
      </c>
      <c r="Y5" s="1204">
        <v>4</v>
      </c>
      <c r="Z5" s="1204">
        <v>5</v>
      </c>
      <c r="AA5" s="1204">
        <v>6</v>
      </c>
      <c r="AB5" s="1204">
        <v>7</v>
      </c>
      <c r="AC5" s="1204">
        <v>8</v>
      </c>
      <c r="AD5" s="1204">
        <v>9</v>
      </c>
      <c r="AE5" s="1204">
        <v>10</v>
      </c>
      <c r="AF5" s="1204">
        <v>11</v>
      </c>
      <c r="AG5" s="1204">
        <v>12</v>
      </c>
      <c r="AH5" s="12" t="s">
        <v>2</v>
      </c>
      <c r="AI5" s="11" t="s">
        <v>90</v>
      </c>
      <c r="AJ5" s="11" t="s">
        <v>75</v>
      </c>
      <c r="AK5" s="11" t="s">
        <v>76</v>
      </c>
      <c r="AL5" s="11" t="s">
        <v>77</v>
      </c>
      <c r="AM5" s="11" t="s">
        <v>88</v>
      </c>
      <c r="AN5" s="11" t="s">
        <v>78</v>
      </c>
      <c r="AO5" s="11" t="s">
        <v>89</v>
      </c>
      <c r="AP5" s="11" t="s">
        <v>79</v>
      </c>
      <c r="AQ5" s="11" t="s">
        <v>80</v>
      </c>
      <c r="AR5" s="11" t="s">
        <v>81</v>
      </c>
      <c r="AS5" s="11" t="s">
        <v>82</v>
      </c>
      <c r="AT5" s="11" t="s">
        <v>83</v>
      </c>
      <c r="AU5" s="11" t="s">
        <v>84</v>
      </c>
      <c r="AV5" s="11" t="s">
        <v>85</v>
      </c>
      <c r="AW5" s="1203"/>
      <c r="AX5" s="1203"/>
      <c r="AY5" s="1203"/>
      <c r="AZ5" s="1203"/>
      <c r="BA5" s="12" t="s">
        <v>95</v>
      </c>
      <c r="BB5" s="12" t="s">
        <v>110</v>
      </c>
      <c r="BC5" s="12"/>
      <c r="BD5" s="12"/>
      <c r="BE5" s="12"/>
      <c r="BF5" s="12"/>
      <c r="BG5" s="12"/>
      <c r="BH5" s="12"/>
      <c r="BI5" s="12" t="s">
        <v>127</v>
      </c>
    </row>
    <row r="6" spans="1:61" s="17" customFormat="1" ht="11.25" customHeight="1" x14ac:dyDescent="0.25">
      <c r="A6" s="1214"/>
      <c r="B6" s="1214"/>
      <c r="C6" s="13" t="s">
        <v>144</v>
      </c>
      <c r="D6" s="14" t="s">
        <v>155</v>
      </c>
      <c r="E6" s="13" t="s">
        <v>145</v>
      </c>
      <c r="F6" s="13" t="s">
        <v>146</v>
      </c>
      <c r="G6" s="13" t="s">
        <v>147</v>
      </c>
      <c r="H6" s="13" t="s">
        <v>148</v>
      </c>
      <c r="I6" s="13" t="s">
        <v>149</v>
      </c>
      <c r="J6" s="13" t="s">
        <v>150</v>
      </c>
      <c r="K6" s="13" t="s">
        <v>151</v>
      </c>
      <c r="L6" s="13" t="s">
        <v>135</v>
      </c>
      <c r="M6" s="13" t="s">
        <v>136</v>
      </c>
      <c r="N6" s="13" t="s">
        <v>137</v>
      </c>
      <c r="O6" s="13" t="s">
        <v>138</v>
      </c>
      <c r="P6" s="1214"/>
      <c r="Q6" s="1214"/>
      <c r="R6" s="1214"/>
      <c r="S6" s="1214"/>
      <c r="T6" s="1214"/>
      <c r="U6" s="1214"/>
      <c r="V6" s="1205"/>
      <c r="W6" s="1205"/>
      <c r="X6" s="1205"/>
      <c r="Y6" s="1205"/>
      <c r="Z6" s="1205"/>
      <c r="AA6" s="1205"/>
      <c r="AB6" s="1205"/>
      <c r="AC6" s="1205"/>
      <c r="AD6" s="1205"/>
      <c r="AE6" s="1205"/>
      <c r="AF6" s="1205"/>
      <c r="AG6" s="1205"/>
      <c r="AH6" s="12"/>
      <c r="AI6" s="11"/>
      <c r="AJ6" s="11"/>
      <c r="AK6" s="11"/>
      <c r="AL6" s="11"/>
      <c r="AM6" s="11"/>
      <c r="AN6" s="11"/>
      <c r="AO6" s="11"/>
      <c r="AP6" s="11"/>
      <c r="AQ6" s="11"/>
      <c r="AR6" s="11"/>
      <c r="AS6" s="11"/>
      <c r="AT6" s="11"/>
      <c r="AU6" s="11"/>
      <c r="AV6" s="11"/>
      <c r="AW6" s="12"/>
      <c r="AX6" s="12"/>
      <c r="AY6" s="12"/>
      <c r="AZ6" s="12"/>
      <c r="BA6" s="12"/>
      <c r="BB6" s="12"/>
      <c r="BC6" s="12"/>
      <c r="BD6" s="12"/>
      <c r="BE6" s="12"/>
      <c r="BF6" s="12"/>
      <c r="BG6" s="12"/>
      <c r="BH6" s="12"/>
      <c r="BI6" s="12"/>
    </row>
    <row r="7" spans="1:61" s="50" customFormat="1" ht="13.5" customHeight="1" x14ac:dyDescent="0.35">
      <c r="A7" s="41"/>
      <c r="B7" s="41" t="s">
        <v>68</v>
      </c>
      <c r="C7" s="42" t="s">
        <v>134</v>
      </c>
      <c r="D7" s="42" t="s">
        <v>161</v>
      </c>
      <c r="E7" s="42" t="s">
        <v>164</v>
      </c>
      <c r="F7" s="42" t="s">
        <v>158</v>
      </c>
      <c r="G7" s="42" t="s">
        <v>158</v>
      </c>
      <c r="H7" s="42" t="s">
        <v>158</v>
      </c>
      <c r="I7" s="42" t="s">
        <v>158</v>
      </c>
      <c r="J7" s="43" t="s">
        <v>158</v>
      </c>
      <c r="K7" s="42" t="s">
        <v>158</v>
      </c>
      <c r="L7" s="44" t="s">
        <v>158</v>
      </c>
      <c r="M7" s="44" t="s">
        <v>158</v>
      </c>
      <c r="N7" s="44" t="s">
        <v>158</v>
      </c>
      <c r="O7" s="44" t="s">
        <v>158</v>
      </c>
      <c r="P7" s="45">
        <f>LEN(A7)</f>
        <v>0</v>
      </c>
      <c r="Q7" s="45" t="s">
        <v>124</v>
      </c>
      <c r="R7" s="45" t="s">
        <v>124</v>
      </c>
      <c r="S7" s="45" t="s">
        <v>68</v>
      </c>
      <c r="T7" s="41" t="s">
        <v>133</v>
      </c>
      <c r="U7" s="46" t="s">
        <v>157</v>
      </c>
      <c r="V7" s="47"/>
      <c r="W7" s="48"/>
      <c r="X7" s="48" t="s">
        <v>6</v>
      </c>
      <c r="Y7" s="48"/>
      <c r="Z7" s="48"/>
      <c r="AA7" s="48"/>
      <c r="AB7" s="48"/>
      <c r="AC7" s="48"/>
      <c r="AD7" s="48"/>
      <c r="AE7" s="48"/>
      <c r="AF7" s="48"/>
      <c r="AG7" s="48"/>
      <c r="AH7" s="48" t="s">
        <v>67</v>
      </c>
      <c r="AI7" s="48" t="s">
        <v>70</v>
      </c>
      <c r="AJ7" s="48" t="s">
        <v>87</v>
      </c>
      <c r="AK7" s="45"/>
      <c r="AL7" s="45" t="s">
        <v>86</v>
      </c>
      <c r="AM7" s="45"/>
      <c r="AN7" s="45"/>
      <c r="AO7" s="45"/>
      <c r="AP7" s="45"/>
      <c r="AQ7" s="45"/>
      <c r="AR7" s="45"/>
      <c r="AS7" s="45"/>
      <c r="AT7" s="45"/>
      <c r="AU7" s="45"/>
      <c r="AV7" s="45"/>
      <c r="AW7" s="41" t="s">
        <v>69</v>
      </c>
      <c r="AX7" s="41" t="s">
        <v>173</v>
      </c>
      <c r="AY7" s="41" t="s">
        <v>69</v>
      </c>
      <c r="AZ7" s="41" t="s">
        <v>69</v>
      </c>
      <c r="BA7" s="41" t="s">
        <v>69</v>
      </c>
      <c r="BB7" s="41" t="s">
        <v>69</v>
      </c>
      <c r="BC7" s="45"/>
      <c r="BD7" s="45"/>
      <c r="BE7" s="45"/>
      <c r="BF7" s="45" t="s">
        <v>2</v>
      </c>
      <c r="BG7" s="45" t="s">
        <v>115</v>
      </c>
      <c r="BH7" s="49" t="s">
        <v>116</v>
      </c>
      <c r="BI7" s="41" t="s">
        <v>128</v>
      </c>
    </row>
    <row r="8" spans="1:61" s="50" customFormat="1" ht="13.5" customHeight="1" outlineLevel="2" x14ac:dyDescent="0.35">
      <c r="A8" s="41"/>
      <c r="B8" s="41" t="s">
        <v>68</v>
      </c>
      <c r="C8" s="42" t="s">
        <v>134</v>
      </c>
      <c r="D8" s="42" t="s">
        <v>161</v>
      </c>
      <c r="E8" s="42" t="s">
        <v>164</v>
      </c>
      <c r="F8" s="42" t="s">
        <v>159</v>
      </c>
      <c r="G8" s="42" t="s">
        <v>158</v>
      </c>
      <c r="H8" s="42" t="s">
        <v>158</v>
      </c>
      <c r="I8" s="42" t="s">
        <v>158</v>
      </c>
      <c r="J8" s="43" t="s">
        <v>158</v>
      </c>
      <c r="K8" s="42" t="s">
        <v>158</v>
      </c>
      <c r="L8" s="44" t="s">
        <v>158</v>
      </c>
      <c r="M8" s="44" t="s">
        <v>158</v>
      </c>
      <c r="N8" s="44" t="s">
        <v>158</v>
      </c>
      <c r="O8" s="44" t="s">
        <v>158</v>
      </c>
      <c r="P8" s="45">
        <f>LEN(A8)</f>
        <v>0</v>
      </c>
      <c r="Q8" s="45" t="s">
        <v>124</v>
      </c>
      <c r="R8" s="45" t="s">
        <v>124</v>
      </c>
      <c r="S8" s="45" t="s">
        <v>68</v>
      </c>
      <c r="T8" s="41" t="s">
        <v>133</v>
      </c>
      <c r="U8" s="46" t="s">
        <v>7</v>
      </c>
      <c r="V8" s="47"/>
      <c r="W8" s="48"/>
      <c r="X8" s="48"/>
      <c r="Y8" s="48" t="s">
        <v>8</v>
      </c>
      <c r="Z8" s="48"/>
      <c r="AA8" s="48"/>
      <c r="AB8" s="48"/>
      <c r="AC8" s="48"/>
      <c r="AD8" s="48"/>
      <c r="AE8" s="48"/>
      <c r="AF8" s="48"/>
      <c r="AG8" s="48"/>
      <c r="AH8" s="48"/>
      <c r="AI8" s="48"/>
      <c r="AJ8" s="48" t="s">
        <v>88</v>
      </c>
      <c r="AK8" s="45"/>
      <c r="AL8" s="45"/>
      <c r="AM8" s="45" t="s">
        <v>86</v>
      </c>
      <c r="AN8" s="45"/>
      <c r="AO8" s="45"/>
      <c r="AP8" s="45"/>
      <c r="AQ8" s="45"/>
      <c r="AR8" s="45"/>
      <c r="AS8" s="45"/>
      <c r="AT8" s="45"/>
      <c r="AU8" s="45"/>
      <c r="AV8" s="45"/>
      <c r="AW8" s="41" t="s">
        <v>69</v>
      </c>
      <c r="AX8" s="41" t="s">
        <v>174</v>
      </c>
      <c r="AY8" s="41" t="s">
        <v>69</v>
      </c>
      <c r="AZ8" s="41" t="s">
        <v>69</v>
      </c>
      <c r="BA8" s="41" t="s">
        <v>69</v>
      </c>
      <c r="BB8" s="41" t="s">
        <v>69</v>
      </c>
      <c r="BC8" s="45"/>
      <c r="BD8" s="45"/>
      <c r="BE8" s="45"/>
      <c r="BF8" s="45" t="s">
        <v>2</v>
      </c>
      <c r="BG8" s="45" t="s">
        <v>115</v>
      </c>
      <c r="BH8" s="49" t="s">
        <v>116</v>
      </c>
      <c r="BI8" s="41" t="s">
        <v>128</v>
      </c>
    </row>
    <row r="9" spans="1:61" s="6" customFormat="1" ht="13.5" customHeight="1" outlineLevel="3" x14ac:dyDescent="0.35">
      <c r="A9" s="126" t="s">
        <v>10</v>
      </c>
      <c r="B9" s="126" t="s">
        <v>126</v>
      </c>
      <c r="C9" s="127" t="s">
        <v>134</v>
      </c>
      <c r="D9" s="127" t="s">
        <v>161</v>
      </c>
      <c r="E9" s="127" t="s">
        <v>164</v>
      </c>
      <c r="F9" s="127" t="s">
        <v>159</v>
      </c>
      <c r="G9" s="128" t="s">
        <v>159</v>
      </c>
      <c r="H9" s="127" t="s">
        <v>158</v>
      </c>
      <c r="I9" s="127" t="s">
        <v>158</v>
      </c>
      <c r="J9" s="129" t="s">
        <v>158</v>
      </c>
      <c r="K9" s="127" t="s">
        <v>158</v>
      </c>
      <c r="L9" s="130" t="s">
        <v>158</v>
      </c>
      <c r="M9" s="130" t="s">
        <v>158</v>
      </c>
      <c r="N9" s="130" t="s">
        <v>158</v>
      </c>
      <c r="O9" s="130" t="s">
        <v>158</v>
      </c>
      <c r="P9" s="131">
        <f>LEN(A9)</f>
        <v>73</v>
      </c>
      <c r="Q9" s="131" t="s">
        <v>67</v>
      </c>
      <c r="R9" s="131" t="s">
        <v>124</v>
      </c>
      <c r="S9" s="131" t="s">
        <v>156</v>
      </c>
      <c r="T9" s="132" t="s">
        <v>91</v>
      </c>
      <c r="U9" s="133" t="s">
        <v>9</v>
      </c>
      <c r="V9" s="134"/>
      <c r="W9" s="135"/>
      <c r="X9" s="135"/>
      <c r="Y9" s="135"/>
      <c r="Z9" s="135" t="s">
        <v>10</v>
      </c>
      <c r="AA9" s="135"/>
      <c r="AB9" s="135"/>
      <c r="AC9" s="135"/>
      <c r="AD9" s="135"/>
      <c r="AE9" s="135"/>
      <c r="AF9" s="135"/>
      <c r="AG9" s="135"/>
      <c r="AH9" s="135"/>
      <c r="AI9" s="135"/>
      <c r="AJ9" s="135"/>
      <c r="AK9" s="131"/>
      <c r="AL9" s="131"/>
      <c r="AM9" s="131"/>
      <c r="AN9" s="131"/>
      <c r="AO9" s="131"/>
      <c r="AP9" s="131"/>
      <c r="AQ9" s="131"/>
      <c r="AR9" s="131"/>
      <c r="AS9" s="131"/>
      <c r="AT9" s="131"/>
      <c r="AU9" s="131"/>
      <c r="AV9" s="131"/>
      <c r="AW9" s="132">
        <v>559</v>
      </c>
      <c r="AX9" s="132" t="s">
        <v>175</v>
      </c>
      <c r="AY9" s="132" t="s">
        <v>111</v>
      </c>
      <c r="AZ9" s="132" t="s">
        <v>68</v>
      </c>
      <c r="BA9" s="132" t="s">
        <v>67</v>
      </c>
      <c r="BB9" s="132" t="s">
        <v>68</v>
      </c>
      <c r="BC9" s="131"/>
      <c r="BD9" s="131"/>
      <c r="BE9" s="131"/>
      <c r="BF9" s="131" t="s">
        <v>2</v>
      </c>
      <c r="BG9" s="131" t="s">
        <v>115</v>
      </c>
      <c r="BH9" s="136" t="s">
        <v>116</v>
      </c>
      <c r="BI9" s="132" t="s">
        <v>128</v>
      </c>
    </row>
    <row r="10" spans="1:61" s="50" customFormat="1" ht="13.5" customHeight="1" outlineLevel="3" x14ac:dyDescent="0.35">
      <c r="A10" s="160"/>
      <c r="B10" s="160" t="s">
        <v>68</v>
      </c>
      <c r="C10" s="161" t="s">
        <v>134</v>
      </c>
      <c r="D10" s="161" t="s">
        <v>161</v>
      </c>
      <c r="E10" s="161" t="s">
        <v>164</v>
      </c>
      <c r="F10" s="161" t="s">
        <v>159</v>
      </c>
      <c r="G10" s="161" t="s">
        <v>160</v>
      </c>
      <c r="H10" s="161" t="s">
        <v>158</v>
      </c>
      <c r="I10" s="161" t="s">
        <v>158</v>
      </c>
      <c r="J10" s="162" t="s">
        <v>158</v>
      </c>
      <c r="K10" s="161" t="s">
        <v>158</v>
      </c>
      <c r="L10" s="163" t="s">
        <v>158</v>
      </c>
      <c r="M10" s="163" t="s">
        <v>158</v>
      </c>
      <c r="N10" s="163" t="s">
        <v>158</v>
      </c>
      <c r="O10" s="163" t="s">
        <v>158</v>
      </c>
      <c r="P10" s="164">
        <f>LEN(A10)</f>
        <v>0</v>
      </c>
      <c r="Q10" s="164" t="s">
        <v>124</v>
      </c>
      <c r="R10" s="164" t="s">
        <v>124</v>
      </c>
      <c r="S10" s="164" t="s">
        <v>68</v>
      </c>
      <c r="T10" s="160" t="s">
        <v>91</v>
      </c>
      <c r="U10" s="165" t="s">
        <v>100</v>
      </c>
      <c r="V10" s="166"/>
      <c r="W10" s="167"/>
      <c r="X10" s="167"/>
      <c r="Y10" s="167"/>
      <c r="Z10" s="167" t="s">
        <v>11</v>
      </c>
      <c r="AA10" s="167"/>
      <c r="AB10" s="167"/>
      <c r="AC10" s="167"/>
      <c r="AD10" s="167"/>
      <c r="AE10" s="167"/>
      <c r="AF10" s="167"/>
      <c r="AG10" s="167"/>
      <c r="AH10" s="167"/>
      <c r="AI10" s="167"/>
      <c r="AJ10" s="164"/>
      <c r="AK10" s="164"/>
      <c r="AL10" s="164"/>
      <c r="AM10" s="164"/>
      <c r="AN10" s="164"/>
      <c r="AO10" s="164"/>
      <c r="AP10" s="164"/>
      <c r="AQ10" s="164"/>
      <c r="AR10" s="164"/>
      <c r="AS10" s="164"/>
      <c r="AT10" s="164"/>
      <c r="AU10" s="164"/>
      <c r="AV10" s="164"/>
      <c r="AW10" s="160">
        <v>559</v>
      </c>
      <c r="AX10" s="160" t="s">
        <v>176</v>
      </c>
      <c r="AY10" s="160" t="s">
        <v>111</v>
      </c>
      <c r="AZ10" s="160" t="s">
        <v>68</v>
      </c>
      <c r="BA10" s="160" t="s">
        <v>67</v>
      </c>
      <c r="BB10" s="160" t="s">
        <v>68</v>
      </c>
      <c r="BC10" s="164"/>
      <c r="BD10" s="164"/>
      <c r="BE10" s="164"/>
      <c r="BF10" s="164" t="s">
        <v>2</v>
      </c>
      <c r="BG10" s="164" t="s">
        <v>115</v>
      </c>
      <c r="BH10" s="168" t="s">
        <v>116</v>
      </c>
      <c r="BI10" s="160" t="s">
        <v>128</v>
      </c>
    </row>
    <row r="11" spans="1:61" s="6" customFormat="1" ht="13.5" customHeight="1" outlineLevel="4" x14ac:dyDescent="0.35">
      <c r="A11" s="126" t="s">
        <v>12</v>
      </c>
      <c r="B11" s="126" t="s">
        <v>126</v>
      </c>
      <c r="C11" s="127" t="s">
        <v>134</v>
      </c>
      <c r="D11" s="127" t="s">
        <v>161</v>
      </c>
      <c r="E11" s="127" t="s">
        <v>164</v>
      </c>
      <c r="F11" s="127" t="s">
        <v>159</v>
      </c>
      <c r="G11" s="127" t="s">
        <v>160</v>
      </c>
      <c r="H11" s="128" t="s">
        <v>159</v>
      </c>
      <c r="I11" s="127" t="s">
        <v>158</v>
      </c>
      <c r="J11" s="129" t="s">
        <v>158</v>
      </c>
      <c r="K11" s="127" t="s">
        <v>158</v>
      </c>
      <c r="L11" s="130" t="s">
        <v>158</v>
      </c>
      <c r="M11" s="130" t="s">
        <v>158</v>
      </c>
      <c r="N11" s="130" t="s">
        <v>158</v>
      </c>
      <c r="O11" s="130" t="s">
        <v>158</v>
      </c>
      <c r="P11" s="131">
        <f t="shared" ref="P11:P52" si="0">LEN(A11)</f>
        <v>99</v>
      </c>
      <c r="Q11" s="131" t="s">
        <v>67</v>
      </c>
      <c r="R11" s="131" t="s">
        <v>124</v>
      </c>
      <c r="S11" s="131" t="s">
        <v>156</v>
      </c>
      <c r="T11" s="132" t="s">
        <v>91</v>
      </c>
      <c r="U11" s="133" t="s">
        <v>71</v>
      </c>
      <c r="V11" s="134"/>
      <c r="W11" s="135"/>
      <c r="X11" s="135"/>
      <c r="Y11" s="135"/>
      <c r="Z11" s="135"/>
      <c r="AA11" s="135" t="s">
        <v>12</v>
      </c>
      <c r="AB11" s="135"/>
      <c r="AC11" s="135"/>
      <c r="AD11" s="135"/>
      <c r="AE11" s="135"/>
      <c r="AF11" s="135"/>
      <c r="AG11" s="135"/>
      <c r="AH11" s="135"/>
      <c r="AI11" s="135"/>
      <c r="AJ11" s="135"/>
      <c r="AK11" s="131"/>
      <c r="AL11" s="131"/>
      <c r="AM11" s="131"/>
      <c r="AN11" s="131"/>
      <c r="AO11" s="131"/>
      <c r="AP11" s="131"/>
      <c r="AQ11" s="131"/>
      <c r="AR11" s="131"/>
      <c r="AS11" s="131"/>
      <c r="AT11" s="131"/>
      <c r="AU11" s="131"/>
      <c r="AV11" s="131"/>
      <c r="AW11" s="132">
        <v>559</v>
      </c>
      <c r="AX11" s="132" t="s">
        <v>177</v>
      </c>
      <c r="AY11" s="132" t="s">
        <v>111</v>
      </c>
      <c r="AZ11" s="132" t="s">
        <v>68</v>
      </c>
      <c r="BA11" s="132" t="s">
        <v>67</v>
      </c>
      <c r="BB11" s="132" t="s">
        <v>68</v>
      </c>
      <c r="BC11" s="131"/>
      <c r="BD11" s="131"/>
      <c r="BE11" s="131"/>
      <c r="BF11" s="131" t="s">
        <v>2</v>
      </c>
      <c r="BG11" s="131" t="s">
        <v>115</v>
      </c>
      <c r="BH11" s="136" t="s">
        <v>116</v>
      </c>
      <c r="BI11" s="132" t="s">
        <v>128</v>
      </c>
    </row>
    <row r="12" spans="1:61" s="50" customFormat="1" ht="13.5" customHeight="1" outlineLevel="4" x14ac:dyDescent="0.35">
      <c r="A12" s="160"/>
      <c r="B12" s="160" t="s">
        <v>68</v>
      </c>
      <c r="C12" s="161" t="s">
        <v>134</v>
      </c>
      <c r="D12" s="161" t="s">
        <v>161</v>
      </c>
      <c r="E12" s="161" t="s">
        <v>164</v>
      </c>
      <c r="F12" s="161" t="s">
        <v>159</v>
      </c>
      <c r="G12" s="161" t="s">
        <v>160</v>
      </c>
      <c r="H12" s="161" t="s">
        <v>160</v>
      </c>
      <c r="I12" s="161" t="s">
        <v>158</v>
      </c>
      <c r="J12" s="162" t="s">
        <v>158</v>
      </c>
      <c r="K12" s="161" t="s">
        <v>158</v>
      </c>
      <c r="L12" s="163" t="s">
        <v>158</v>
      </c>
      <c r="M12" s="163" t="s">
        <v>158</v>
      </c>
      <c r="N12" s="163" t="s">
        <v>158</v>
      </c>
      <c r="O12" s="163" t="s">
        <v>158</v>
      </c>
      <c r="P12" s="164">
        <f t="shared" si="0"/>
        <v>0</v>
      </c>
      <c r="Q12" s="164" t="s">
        <v>124</v>
      </c>
      <c r="R12" s="164" t="s">
        <v>124</v>
      </c>
      <c r="S12" s="164" t="s">
        <v>68</v>
      </c>
      <c r="T12" s="160" t="s">
        <v>91</v>
      </c>
      <c r="U12" s="165" t="s">
        <v>13</v>
      </c>
      <c r="V12" s="166"/>
      <c r="W12" s="167"/>
      <c r="X12" s="167"/>
      <c r="Y12" s="167"/>
      <c r="Z12" s="167"/>
      <c r="AA12" s="167" t="s">
        <v>14</v>
      </c>
      <c r="AB12" s="167"/>
      <c r="AC12" s="167"/>
      <c r="AD12" s="167"/>
      <c r="AE12" s="167"/>
      <c r="AF12" s="167"/>
      <c r="AG12" s="167"/>
      <c r="AH12" s="167"/>
      <c r="AI12" s="167"/>
      <c r="AJ12" s="167"/>
      <c r="AK12" s="164"/>
      <c r="AL12" s="164"/>
      <c r="AM12" s="164"/>
      <c r="AN12" s="164"/>
      <c r="AO12" s="164"/>
      <c r="AP12" s="164"/>
      <c r="AQ12" s="164"/>
      <c r="AR12" s="164"/>
      <c r="AS12" s="164"/>
      <c r="AT12" s="164"/>
      <c r="AU12" s="164"/>
      <c r="AV12" s="164"/>
      <c r="AW12" s="160">
        <v>559</v>
      </c>
      <c r="AX12" s="160" t="s">
        <v>178</v>
      </c>
      <c r="AY12" s="160" t="s">
        <v>111</v>
      </c>
      <c r="AZ12" s="160" t="s">
        <v>68</v>
      </c>
      <c r="BA12" s="160" t="s">
        <v>67</v>
      </c>
      <c r="BB12" s="160" t="s">
        <v>68</v>
      </c>
      <c r="BC12" s="164"/>
      <c r="BD12" s="164"/>
      <c r="BE12" s="164"/>
      <c r="BF12" s="164" t="s">
        <v>2</v>
      </c>
      <c r="BG12" s="164" t="s">
        <v>115</v>
      </c>
      <c r="BH12" s="168" t="s">
        <v>116</v>
      </c>
      <c r="BI12" s="160" t="s">
        <v>128</v>
      </c>
    </row>
    <row r="13" spans="1:61" s="6" customFormat="1" ht="13.5" customHeight="1" outlineLevel="5" x14ac:dyDescent="0.35">
      <c r="A13" s="126" t="s">
        <v>16</v>
      </c>
      <c r="B13" s="126" t="s">
        <v>126</v>
      </c>
      <c r="C13" s="127" t="s">
        <v>134</v>
      </c>
      <c r="D13" s="127" t="s">
        <v>161</v>
      </c>
      <c r="E13" s="127" t="s">
        <v>164</v>
      </c>
      <c r="F13" s="127" t="s">
        <v>159</v>
      </c>
      <c r="G13" s="127" t="s">
        <v>160</v>
      </c>
      <c r="H13" s="127" t="s">
        <v>160</v>
      </c>
      <c r="I13" s="128" t="s">
        <v>159</v>
      </c>
      <c r="J13" s="129" t="s">
        <v>158</v>
      </c>
      <c r="K13" s="127" t="s">
        <v>158</v>
      </c>
      <c r="L13" s="130" t="s">
        <v>158</v>
      </c>
      <c r="M13" s="130" t="s">
        <v>158</v>
      </c>
      <c r="N13" s="130" t="s">
        <v>158</v>
      </c>
      <c r="O13" s="130" t="s">
        <v>158</v>
      </c>
      <c r="P13" s="131">
        <f t="shared" si="0"/>
        <v>129</v>
      </c>
      <c r="Q13" s="131" t="s">
        <v>67</v>
      </c>
      <c r="R13" s="131" t="s">
        <v>124</v>
      </c>
      <c r="S13" s="132" t="s">
        <v>156</v>
      </c>
      <c r="T13" s="132" t="s">
        <v>91</v>
      </c>
      <c r="U13" s="133" t="s">
        <v>15</v>
      </c>
      <c r="V13" s="134"/>
      <c r="W13" s="135"/>
      <c r="X13" s="135"/>
      <c r="Y13" s="135"/>
      <c r="Z13" s="135"/>
      <c r="AA13" s="135"/>
      <c r="AB13" s="135" t="s">
        <v>16</v>
      </c>
      <c r="AC13" s="135"/>
      <c r="AD13" s="135"/>
      <c r="AE13" s="135"/>
      <c r="AF13" s="135"/>
      <c r="AG13" s="135"/>
      <c r="AH13" s="135"/>
      <c r="AI13" s="135"/>
      <c r="AJ13" s="135"/>
      <c r="AK13" s="131"/>
      <c r="AL13" s="131"/>
      <c r="AM13" s="131"/>
      <c r="AN13" s="131"/>
      <c r="AO13" s="131"/>
      <c r="AP13" s="131"/>
      <c r="AQ13" s="131"/>
      <c r="AR13" s="131"/>
      <c r="AS13" s="131"/>
      <c r="AT13" s="131"/>
      <c r="AU13" s="131"/>
      <c r="AV13" s="131"/>
      <c r="AW13" s="132">
        <v>559</v>
      </c>
      <c r="AX13" s="132" t="s">
        <v>179</v>
      </c>
      <c r="AY13" s="132" t="s">
        <v>111</v>
      </c>
      <c r="AZ13" s="132" t="s">
        <v>68</v>
      </c>
      <c r="BA13" s="132" t="s">
        <v>67</v>
      </c>
      <c r="BB13" s="132" t="s">
        <v>68</v>
      </c>
      <c r="BC13" s="131"/>
      <c r="BD13" s="131"/>
      <c r="BE13" s="131"/>
      <c r="BF13" s="131" t="s">
        <v>2</v>
      </c>
      <c r="BG13" s="131" t="s">
        <v>115</v>
      </c>
      <c r="BH13" s="136" t="s">
        <v>116</v>
      </c>
      <c r="BI13" s="132" t="s">
        <v>128</v>
      </c>
    </row>
    <row r="14" spans="1:61" s="6" customFormat="1" ht="13.5" customHeight="1" outlineLevel="5" x14ac:dyDescent="0.35">
      <c r="A14" s="126" t="s">
        <v>18</v>
      </c>
      <c r="B14" s="126" t="s">
        <v>126</v>
      </c>
      <c r="C14" s="127" t="s">
        <v>134</v>
      </c>
      <c r="D14" s="127" t="s">
        <v>161</v>
      </c>
      <c r="E14" s="127" t="s">
        <v>164</v>
      </c>
      <c r="F14" s="127" t="s">
        <v>159</v>
      </c>
      <c r="G14" s="127" t="s">
        <v>160</v>
      </c>
      <c r="H14" s="127" t="s">
        <v>160</v>
      </c>
      <c r="I14" s="128" t="s">
        <v>160</v>
      </c>
      <c r="J14" s="129" t="s">
        <v>158</v>
      </c>
      <c r="K14" s="127" t="s">
        <v>158</v>
      </c>
      <c r="L14" s="130" t="s">
        <v>158</v>
      </c>
      <c r="M14" s="130" t="s">
        <v>158</v>
      </c>
      <c r="N14" s="130" t="s">
        <v>158</v>
      </c>
      <c r="O14" s="130" t="s">
        <v>158</v>
      </c>
      <c r="P14" s="131">
        <f t="shared" si="0"/>
        <v>133</v>
      </c>
      <c r="Q14" s="131" t="s">
        <v>67</v>
      </c>
      <c r="R14" s="131" t="s">
        <v>124</v>
      </c>
      <c r="S14" s="132" t="s">
        <v>156</v>
      </c>
      <c r="T14" s="132" t="s">
        <v>91</v>
      </c>
      <c r="U14" s="133" t="s">
        <v>17</v>
      </c>
      <c r="V14" s="134"/>
      <c r="W14" s="135"/>
      <c r="X14" s="135"/>
      <c r="Y14" s="135"/>
      <c r="Z14" s="135"/>
      <c r="AA14" s="135"/>
      <c r="AB14" s="135" t="s">
        <v>18</v>
      </c>
      <c r="AC14" s="135"/>
      <c r="AD14" s="135"/>
      <c r="AE14" s="135"/>
      <c r="AF14" s="135"/>
      <c r="AG14" s="135"/>
      <c r="AH14" s="135"/>
      <c r="AI14" s="135"/>
      <c r="AJ14" s="135"/>
      <c r="AK14" s="131"/>
      <c r="AL14" s="131"/>
      <c r="AM14" s="131"/>
      <c r="AN14" s="131"/>
      <c r="AO14" s="131"/>
      <c r="AP14" s="131"/>
      <c r="AQ14" s="131"/>
      <c r="AR14" s="131"/>
      <c r="AS14" s="131"/>
      <c r="AT14" s="131"/>
      <c r="AU14" s="131"/>
      <c r="AV14" s="131"/>
      <c r="AW14" s="132">
        <v>559</v>
      </c>
      <c r="AX14" s="132" t="s">
        <v>180</v>
      </c>
      <c r="AY14" s="132" t="s">
        <v>111</v>
      </c>
      <c r="AZ14" s="132" t="s">
        <v>68</v>
      </c>
      <c r="BA14" s="132" t="s">
        <v>67</v>
      </c>
      <c r="BB14" s="132" t="s">
        <v>68</v>
      </c>
      <c r="BC14" s="131"/>
      <c r="BD14" s="131"/>
      <c r="BE14" s="131"/>
      <c r="BF14" s="131" t="s">
        <v>2</v>
      </c>
      <c r="BG14" s="131" t="s">
        <v>115</v>
      </c>
      <c r="BH14" s="136" t="s">
        <v>116</v>
      </c>
      <c r="BI14" s="132" t="s">
        <v>128</v>
      </c>
    </row>
    <row r="15" spans="1:61" s="6" customFormat="1" ht="13.5" customHeight="1" outlineLevel="4" x14ac:dyDescent="0.35">
      <c r="A15" s="126" t="s">
        <v>20</v>
      </c>
      <c r="B15" s="126" t="s">
        <v>126</v>
      </c>
      <c r="C15" s="127" t="s">
        <v>134</v>
      </c>
      <c r="D15" s="127" t="s">
        <v>161</v>
      </c>
      <c r="E15" s="127" t="s">
        <v>164</v>
      </c>
      <c r="F15" s="127" t="s">
        <v>159</v>
      </c>
      <c r="G15" s="127" t="s">
        <v>160</v>
      </c>
      <c r="H15" s="127" t="s">
        <v>161</v>
      </c>
      <c r="I15" s="127" t="s">
        <v>158</v>
      </c>
      <c r="J15" s="129" t="s">
        <v>158</v>
      </c>
      <c r="K15" s="127" t="s">
        <v>158</v>
      </c>
      <c r="L15" s="130" t="s">
        <v>158</v>
      </c>
      <c r="M15" s="130" t="s">
        <v>158</v>
      </c>
      <c r="N15" s="130" t="s">
        <v>158</v>
      </c>
      <c r="O15" s="130" t="s">
        <v>158</v>
      </c>
      <c r="P15" s="131">
        <f t="shared" si="0"/>
        <v>108</v>
      </c>
      <c r="Q15" s="131" t="s">
        <v>67</v>
      </c>
      <c r="R15" s="131" t="s">
        <v>124</v>
      </c>
      <c r="S15" s="132" t="s">
        <v>156</v>
      </c>
      <c r="T15" s="132" t="s">
        <v>91</v>
      </c>
      <c r="U15" s="133" t="s">
        <v>19</v>
      </c>
      <c r="V15" s="134"/>
      <c r="W15" s="135"/>
      <c r="X15" s="135"/>
      <c r="Y15" s="135"/>
      <c r="Z15" s="135"/>
      <c r="AA15" s="135" t="s">
        <v>20</v>
      </c>
      <c r="AB15" s="135"/>
      <c r="AC15" s="135"/>
      <c r="AD15" s="135"/>
      <c r="AE15" s="135"/>
      <c r="AF15" s="135"/>
      <c r="AG15" s="135"/>
      <c r="AH15" s="135"/>
      <c r="AI15" s="135"/>
      <c r="AJ15" s="135"/>
      <c r="AK15" s="131"/>
      <c r="AL15" s="131"/>
      <c r="AM15" s="131"/>
      <c r="AN15" s="131"/>
      <c r="AO15" s="131"/>
      <c r="AP15" s="131"/>
      <c r="AQ15" s="131"/>
      <c r="AR15" s="131"/>
      <c r="AS15" s="131"/>
      <c r="AT15" s="131"/>
      <c r="AU15" s="131"/>
      <c r="AV15" s="131"/>
      <c r="AW15" s="132">
        <v>559</v>
      </c>
      <c r="AX15" s="132" t="s">
        <v>181</v>
      </c>
      <c r="AY15" s="132" t="s">
        <v>111</v>
      </c>
      <c r="AZ15" s="132" t="s">
        <v>68</v>
      </c>
      <c r="BA15" s="132" t="s">
        <v>67</v>
      </c>
      <c r="BB15" s="132" t="s">
        <v>68</v>
      </c>
      <c r="BC15" s="131"/>
      <c r="BD15" s="131"/>
      <c r="BE15" s="131"/>
      <c r="BF15" s="131" t="s">
        <v>2</v>
      </c>
      <c r="BG15" s="131" t="s">
        <v>115</v>
      </c>
      <c r="BH15" s="136" t="s">
        <v>116</v>
      </c>
      <c r="BI15" s="132" t="s">
        <v>128</v>
      </c>
    </row>
    <row r="16" spans="1:61" s="6" customFormat="1" ht="13.5" customHeight="1" outlineLevel="4" x14ac:dyDescent="0.35">
      <c r="A16" s="126" t="s">
        <v>22</v>
      </c>
      <c r="B16" s="126" t="s">
        <v>126</v>
      </c>
      <c r="C16" s="127" t="s">
        <v>134</v>
      </c>
      <c r="D16" s="127" t="s">
        <v>161</v>
      </c>
      <c r="E16" s="127" t="s">
        <v>164</v>
      </c>
      <c r="F16" s="127" t="s">
        <v>159</v>
      </c>
      <c r="G16" s="127" t="s">
        <v>160</v>
      </c>
      <c r="H16" s="127" t="s">
        <v>162</v>
      </c>
      <c r="I16" s="127" t="s">
        <v>158</v>
      </c>
      <c r="J16" s="129" t="s">
        <v>158</v>
      </c>
      <c r="K16" s="127" t="s">
        <v>158</v>
      </c>
      <c r="L16" s="130" t="s">
        <v>158</v>
      </c>
      <c r="M16" s="130" t="s">
        <v>158</v>
      </c>
      <c r="N16" s="130" t="s">
        <v>158</v>
      </c>
      <c r="O16" s="130" t="s">
        <v>158</v>
      </c>
      <c r="P16" s="131">
        <f t="shared" si="0"/>
        <v>101</v>
      </c>
      <c r="Q16" s="131" t="s">
        <v>67</v>
      </c>
      <c r="R16" s="131" t="s">
        <v>124</v>
      </c>
      <c r="S16" s="132" t="s">
        <v>156</v>
      </c>
      <c r="T16" s="132" t="s">
        <v>91</v>
      </c>
      <c r="U16" s="133" t="s">
        <v>21</v>
      </c>
      <c r="V16" s="134"/>
      <c r="W16" s="135"/>
      <c r="X16" s="135"/>
      <c r="Y16" s="135"/>
      <c r="Z16" s="135"/>
      <c r="AA16" s="135" t="s">
        <v>22</v>
      </c>
      <c r="AB16" s="135"/>
      <c r="AC16" s="135"/>
      <c r="AD16" s="135"/>
      <c r="AE16" s="135"/>
      <c r="AF16" s="135"/>
      <c r="AG16" s="135"/>
      <c r="AH16" s="135"/>
      <c r="AI16" s="135"/>
      <c r="AJ16" s="135"/>
      <c r="AK16" s="131"/>
      <c r="AL16" s="131"/>
      <c r="AM16" s="131"/>
      <c r="AN16" s="131"/>
      <c r="AO16" s="131"/>
      <c r="AP16" s="131"/>
      <c r="AQ16" s="131"/>
      <c r="AR16" s="131"/>
      <c r="AS16" s="131"/>
      <c r="AT16" s="131"/>
      <c r="AU16" s="131"/>
      <c r="AV16" s="131"/>
      <c r="AW16" s="132">
        <v>559</v>
      </c>
      <c r="AX16" s="132" t="s">
        <v>182</v>
      </c>
      <c r="AY16" s="132" t="s">
        <v>111</v>
      </c>
      <c r="AZ16" s="132" t="s">
        <v>68</v>
      </c>
      <c r="BA16" s="132" t="s">
        <v>67</v>
      </c>
      <c r="BB16" s="132" t="s">
        <v>68</v>
      </c>
      <c r="BC16" s="131"/>
      <c r="BD16" s="131"/>
      <c r="BE16" s="131"/>
      <c r="BF16" s="131" t="s">
        <v>2</v>
      </c>
      <c r="BG16" s="131" t="s">
        <v>115</v>
      </c>
      <c r="BH16" s="136" t="s">
        <v>116</v>
      </c>
      <c r="BI16" s="132" t="s">
        <v>128</v>
      </c>
    </row>
    <row r="17" spans="1:61" s="6" customFormat="1" ht="13.5" customHeight="1" outlineLevel="3" x14ac:dyDescent="0.35">
      <c r="A17" s="52" t="s">
        <v>24</v>
      </c>
      <c r="B17" s="52" t="s">
        <v>126</v>
      </c>
      <c r="C17" s="53" t="s">
        <v>134</v>
      </c>
      <c r="D17" s="53" t="s">
        <v>161</v>
      </c>
      <c r="E17" s="53" t="s">
        <v>164</v>
      </c>
      <c r="F17" s="53" t="s">
        <v>159</v>
      </c>
      <c r="G17" s="53" t="s">
        <v>161</v>
      </c>
      <c r="H17" s="54" t="s">
        <v>158</v>
      </c>
      <c r="I17" s="54" t="s">
        <v>158</v>
      </c>
      <c r="J17" s="55" t="s">
        <v>158</v>
      </c>
      <c r="K17" s="53" t="s">
        <v>158</v>
      </c>
      <c r="L17" s="56" t="s">
        <v>158</v>
      </c>
      <c r="M17" s="56" t="s">
        <v>158</v>
      </c>
      <c r="N17" s="56" t="s">
        <v>158</v>
      </c>
      <c r="O17" s="56" t="s">
        <v>158</v>
      </c>
      <c r="P17" s="57">
        <f t="shared" si="0"/>
        <v>67</v>
      </c>
      <c r="Q17" s="57" t="s">
        <v>67</v>
      </c>
      <c r="R17" s="57" t="s">
        <v>124</v>
      </c>
      <c r="S17" s="58" t="s">
        <v>156</v>
      </c>
      <c r="T17" s="58" t="s">
        <v>91</v>
      </c>
      <c r="U17" s="59" t="s">
        <v>23</v>
      </c>
      <c r="V17" s="60"/>
      <c r="W17" s="61"/>
      <c r="X17" s="61"/>
      <c r="Y17" s="61"/>
      <c r="Z17" s="61" t="s">
        <v>24</v>
      </c>
      <c r="AA17" s="61"/>
      <c r="AB17" s="61"/>
      <c r="AC17" s="61"/>
      <c r="AD17" s="61"/>
      <c r="AE17" s="61"/>
      <c r="AF17" s="61"/>
      <c r="AG17" s="61"/>
      <c r="AH17" s="61"/>
      <c r="AI17" s="61"/>
      <c r="AJ17" s="61"/>
      <c r="AK17" s="57"/>
      <c r="AL17" s="57"/>
      <c r="AM17" s="57"/>
      <c r="AN17" s="57"/>
      <c r="AO17" s="57"/>
      <c r="AP17" s="57"/>
      <c r="AQ17" s="57"/>
      <c r="AR17" s="57"/>
      <c r="AS17" s="57"/>
      <c r="AT17" s="57"/>
      <c r="AU17" s="57"/>
      <c r="AV17" s="57"/>
      <c r="AW17" s="58">
        <v>559</v>
      </c>
      <c r="AX17" s="58" t="s">
        <v>183</v>
      </c>
      <c r="AY17" s="58" t="s">
        <v>111</v>
      </c>
      <c r="AZ17" s="58" t="s">
        <v>68</v>
      </c>
      <c r="BA17" s="58" t="s">
        <v>67</v>
      </c>
      <c r="BB17" s="58" t="s">
        <v>68</v>
      </c>
      <c r="BC17" s="57"/>
      <c r="BD17" s="57"/>
      <c r="BE17" s="57"/>
      <c r="BF17" s="57" t="s">
        <v>2</v>
      </c>
      <c r="BG17" s="57" t="s">
        <v>115</v>
      </c>
      <c r="BH17" s="62" t="s">
        <v>116</v>
      </c>
      <c r="BI17" s="58" t="s">
        <v>128</v>
      </c>
    </row>
    <row r="18" spans="1:61" s="6" customFormat="1" ht="13.5" customHeight="1" outlineLevel="3" x14ac:dyDescent="0.35">
      <c r="A18" s="52" t="s">
        <v>105</v>
      </c>
      <c r="B18" s="52" t="s">
        <v>126</v>
      </c>
      <c r="C18" s="53" t="s">
        <v>134</v>
      </c>
      <c r="D18" s="53" t="s">
        <v>161</v>
      </c>
      <c r="E18" s="53" t="s">
        <v>164</v>
      </c>
      <c r="F18" s="53" t="s">
        <v>159</v>
      </c>
      <c r="G18" s="53" t="s">
        <v>162</v>
      </c>
      <c r="H18" s="54" t="s">
        <v>158</v>
      </c>
      <c r="I18" s="54" t="s">
        <v>158</v>
      </c>
      <c r="J18" s="55" t="s">
        <v>158</v>
      </c>
      <c r="K18" s="53" t="s">
        <v>158</v>
      </c>
      <c r="L18" s="56" t="s">
        <v>158</v>
      </c>
      <c r="M18" s="56" t="s">
        <v>158</v>
      </c>
      <c r="N18" s="56" t="s">
        <v>158</v>
      </c>
      <c r="O18" s="56" t="s">
        <v>158</v>
      </c>
      <c r="P18" s="57">
        <f t="shared" si="0"/>
        <v>75</v>
      </c>
      <c r="Q18" s="57" t="s">
        <v>67</v>
      </c>
      <c r="R18" s="57" t="s">
        <v>124</v>
      </c>
      <c r="S18" s="58" t="s">
        <v>156</v>
      </c>
      <c r="T18" s="58" t="s">
        <v>91</v>
      </c>
      <c r="U18" s="59" t="s">
        <v>106</v>
      </c>
      <c r="V18" s="60"/>
      <c r="W18" s="61"/>
      <c r="X18" s="61"/>
      <c r="Y18" s="61"/>
      <c r="Z18" s="61" t="s">
        <v>105</v>
      </c>
      <c r="AA18" s="61"/>
      <c r="AB18" s="61"/>
      <c r="AC18" s="61"/>
      <c r="AD18" s="61"/>
      <c r="AE18" s="61"/>
      <c r="AF18" s="61"/>
      <c r="AG18" s="61"/>
      <c r="AH18" s="61"/>
      <c r="AI18" s="61"/>
      <c r="AJ18" s="61"/>
      <c r="AK18" s="57"/>
      <c r="AL18" s="57"/>
      <c r="AM18" s="57"/>
      <c r="AN18" s="57"/>
      <c r="AO18" s="57"/>
      <c r="AP18" s="57"/>
      <c r="AQ18" s="57"/>
      <c r="AR18" s="57"/>
      <c r="AS18" s="57"/>
      <c r="AT18" s="57"/>
      <c r="AU18" s="57"/>
      <c r="AV18" s="57"/>
      <c r="AW18" s="58">
        <v>559</v>
      </c>
      <c r="AX18" s="58" t="s">
        <v>184</v>
      </c>
      <c r="AY18" s="58" t="s">
        <v>111</v>
      </c>
      <c r="AZ18" s="58" t="s">
        <v>68</v>
      </c>
      <c r="BA18" s="58" t="s">
        <v>67</v>
      </c>
      <c r="BB18" s="58" t="s">
        <v>68</v>
      </c>
      <c r="BC18" s="57"/>
      <c r="BD18" s="57"/>
      <c r="BE18" s="57"/>
      <c r="BF18" s="57" t="s">
        <v>2</v>
      </c>
      <c r="BG18" s="57" t="s">
        <v>115</v>
      </c>
      <c r="BH18" s="62" t="s">
        <v>116</v>
      </c>
      <c r="BI18" s="58" t="s">
        <v>128</v>
      </c>
    </row>
    <row r="19" spans="1:61" s="6" customFormat="1" ht="13.5" customHeight="1" outlineLevel="3" x14ac:dyDescent="0.35">
      <c r="A19" s="52" t="s">
        <v>25</v>
      </c>
      <c r="B19" s="52" t="s">
        <v>126</v>
      </c>
      <c r="C19" s="53" t="s">
        <v>134</v>
      </c>
      <c r="D19" s="53" t="s">
        <v>161</v>
      </c>
      <c r="E19" s="53" t="s">
        <v>164</v>
      </c>
      <c r="F19" s="53" t="s">
        <v>159</v>
      </c>
      <c r="G19" s="53" t="s">
        <v>163</v>
      </c>
      <c r="H19" s="54" t="s">
        <v>158</v>
      </c>
      <c r="I19" s="54" t="s">
        <v>158</v>
      </c>
      <c r="J19" s="55" t="s">
        <v>158</v>
      </c>
      <c r="K19" s="53" t="s">
        <v>158</v>
      </c>
      <c r="L19" s="56" t="s">
        <v>158</v>
      </c>
      <c r="M19" s="56" t="s">
        <v>158</v>
      </c>
      <c r="N19" s="56" t="s">
        <v>158</v>
      </c>
      <c r="O19" s="56" t="s">
        <v>158</v>
      </c>
      <c r="P19" s="57">
        <f t="shared" si="0"/>
        <v>69</v>
      </c>
      <c r="Q19" s="57" t="s">
        <v>67</v>
      </c>
      <c r="R19" s="57" t="s">
        <v>124</v>
      </c>
      <c r="S19" s="58" t="s">
        <v>156</v>
      </c>
      <c r="T19" s="58" t="s">
        <v>91</v>
      </c>
      <c r="U19" s="59" t="s">
        <v>101</v>
      </c>
      <c r="V19" s="60"/>
      <c r="W19" s="61"/>
      <c r="X19" s="61"/>
      <c r="Y19" s="61"/>
      <c r="Z19" s="61" t="s">
        <v>25</v>
      </c>
      <c r="AA19" s="61"/>
      <c r="AB19" s="61"/>
      <c r="AC19" s="61"/>
      <c r="AD19" s="61"/>
      <c r="AE19" s="61"/>
      <c r="AF19" s="61"/>
      <c r="AG19" s="61"/>
      <c r="AH19" s="61"/>
      <c r="AI19" s="61"/>
      <c r="AJ19" s="61"/>
      <c r="AK19" s="57"/>
      <c r="AL19" s="57"/>
      <c r="AM19" s="57"/>
      <c r="AN19" s="57"/>
      <c r="AO19" s="57"/>
      <c r="AP19" s="57"/>
      <c r="AQ19" s="57"/>
      <c r="AR19" s="57"/>
      <c r="AS19" s="57"/>
      <c r="AT19" s="57"/>
      <c r="AU19" s="57"/>
      <c r="AV19" s="57"/>
      <c r="AW19" s="58">
        <v>559</v>
      </c>
      <c r="AX19" s="58" t="s">
        <v>185</v>
      </c>
      <c r="AY19" s="58" t="s">
        <v>111</v>
      </c>
      <c r="AZ19" s="58" t="s">
        <v>68</v>
      </c>
      <c r="BA19" s="58" t="s">
        <v>67</v>
      </c>
      <c r="BB19" s="58" t="s">
        <v>68</v>
      </c>
      <c r="BC19" s="57"/>
      <c r="BD19" s="57"/>
      <c r="BE19" s="57"/>
      <c r="BF19" s="57" t="s">
        <v>2</v>
      </c>
      <c r="BG19" s="57" t="s">
        <v>115</v>
      </c>
      <c r="BH19" s="62" t="s">
        <v>116</v>
      </c>
      <c r="BI19" s="58" t="s">
        <v>128</v>
      </c>
    </row>
    <row r="20" spans="1:61" s="6" customFormat="1" ht="13.5" customHeight="1" outlineLevel="3" x14ac:dyDescent="0.35">
      <c r="A20" s="52" t="s">
        <v>103</v>
      </c>
      <c r="B20" s="52" t="s">
        <v>126</v>
      </c>
      <c r="C20" s="53" t="s">
        <v>134</v>
      </c>
      <c r="D20" s="53" t="s">
        <v>161</v>
      </c>
      <c r="E20" s="53" t="s">
        <v>164</v>
      </c>
      <c r="F20" s="53" t="s">
        <v>159</v>
      </c>
      <c r="G20" s="53" t="s">
        <v>164</v>
      </c>
      <c r="H20" s="54" t="s">
        <v>158</v>
      </c>
      <c r="I20" s="54" t="s">
        <v>158</v>
      </c>
      <c r="J20" s="55" t="s">
        <v>158</v>
      </c>
      <c r="K20" s="53" t="s">
        <v>158</v>
      </c>
      <c r="L20" s="56" t="s">
        <v>158</v>
      </c>
      <c r="M20" s="56" t="s">
        <v>158</v>
      </c>
      <c r="N20" s="56" t="s">
        <v>158</v>
      </c>
      <c r="O20" s="56" t="s">
        <v>158</v>
      </c>
      <c r="P20" s="57">
        <f t="shared" si="0"/>
        <v>66</v>
      </c>
      <c r="Q20" s="57" t="s">
        <v>67</v>
      </c>
      <c r="R20" s="57" t="s">
        <v>124</v>
      </c>
      <c r="S20" s="58" t="s">
        <v>156</v>
      </c>
      <c r="T20" s="58" t="s">
        <v>91</v>
      </c>
      <c r="U20" s="59" t="s">
        <v>104</v>
      </c>
      <c r="V20" s="60"/>
      <c r="W20" s="61"/>
      <c r="X20" s="61"/>
      <c r="Y20" s="61"/>
      <c r="Z20" s="61" t="s">
        <v>103</v>
      </c>
      <c r="AA20" s="61"/>
      <c r="AB20" s="61"/>
      <c r="AC20" s="61"/>
      <c r="AD20" s="61"/>
      <c r="AE20" s="61"/>
      <c r="AF20" s="61"/>
      <c r="AG20" s="61"/>
      <c r="AH20" s="61"/>
      <c r="AI20" s="61"/>
      <c r="AJ20" s="61"/>
      <c r="AK20" s="57"/>
      <c r="AL20" s="57"/>
      <c r="AM20" s="57"/>
      <c r="AN20" s="57"/>
      <c r="AO20" s="57"/>
      <c r="AP20" s="57"/>
      <c r="AQ20" s="57"/>
      <c r="AR20" s="57"/>
      <c r="AS20" s="57"/>
      <c r="AT20" s="57"/>
      <c r="AU20" s="57"/>
      <c r="AV20" s="57"/>
      <c r="AW20" s="58">
        <v>559</v>
      </c>
      <c r="AX20" s="58" t="s">
        <v>186</v>
      </c>
      <c r="AY20" s="58" t="s">
        <v>111</v>
      </c>
      <c r="AZ20" s="58" t="s">
        <v>68</v>
      </c>
      <c r="BA20" s="58" t="s">
        <v>67</v>
      </c>
      <c r="BB20" s="58" t="s">
        <v>68</v>
      </c>
      <c r="BC20" s="57"/>
      <c r="BD20" s="57"/>
      <c r="BE20" s="57"/>
      <c r="BF20" s="57" t="s">
        <v>2</v>
      </c>
      <c r="BG20" s="57" t="s">
        <v>115</v>
      </c>
      <c r="BH20" s="62" t="s">
        <v>116</v>
      </c>
      <c r="BI20" s="58" t="s">
        <v>128</v>
      </c>
    </row>
    <row r="21" spans="1:61" s="6" customFormat="1" ht="13.5" customHeight="1" outlineLevel="3" x14ac:dyDescent="0.35">
      <c r="A21" s="52" t="s">
        <v>107</v>
      </c>
      <c r="B21" s="52" t="s">
        <v>126</v>
      </c>
      <c r="C21" s="53" t="s">
        <v>134</v>
      </c>
      <c r="D21" s="53" t="s">
        <v>161</v>
      </c>
      <c r="E21" s="53" t="s">
        <v>164</v>
      </c>
      <c r="F21" s="53" t="s">
        <v>159</v>
      </c>
      <c r="G21" s="53" t="s">
        <v>165</v>
      </c>
      <c r="H21" s="54" t="s">
        <v>158</v>
      </c>
      <c r="I21" s="54" t="s">
        <v>158</v>
      </c>
      <c r="J21" s="55" t="s">
        <v>158</v>
      </c>
      <c r="K21" s="53" t="s">
        <v>158</v>
      </c>
      <c r="L21" s="56" t="s">
        <v>158</v>
      </c>
      <c r="M21" s="56" t="s">
        <v>158</v>
      </c>
      <c r="N21" s="56" t="s">
        <v>158</v>
      </c>
      <c r="O21" s="56" t="s">
        <v>158</v>
      </c>
      <c r="P21" s="57">
        <f t="shared" si="0"/>
        <v>75</v>
      </c>
      <c r="Q21" s="57" t="s">
        <v>67</v>
      </c>
      <c r="R21" s="57" t="s">
        <v>124</v>
      </c>
      <c r="S21" s="58" t="s">
        <v>156</v>
      </c>
      <c r="T21" s="58" t="s">
        <v>91</v>
      </c>
      <c r="U21" s="59" t="s">
        <v>108</v>
      </c>
      <c r="V21" s="60"/>
      <c r="W21" s="61"/>
      <c r="X21" s="61"/>
      <c r="Y21" s="61"/>
      <c r="Z21" s="61" t="s">
        <v>107</v>
      </c>
      <c r="AA21" s="61"/>
      <c r="AB21" s="61"/>
      <c r="AC21" s="61"/>
      <c r="AD21" s="61"/>
      <c r="AE21" s="61"/>
      <c r="AF21" s="61"/>
      <c r="AG21" s="61"/>
      <c r="AH21" s="61"/>
      <c r="AI21" s="61"/>
      <c r="AJ21" s="61"/>
      <c r="AK21" s="57"/>
      <c r="AL21" s="57"/>
      <c r="AM21" s="57"/>
      <c r="AN21" s="57"/>
      <c r="AO21" s="57"/>
      <c r="AP21" s="57"/>
      <c r="AQ21" s="57"/>
      <c r="AR21" s="57"/>
      <c r="AS21" s="57"/>
      <c r="AT21" s="57"/>
      <c r="AU21" s="57"/>
      <c r="AV21" s="57"/>
      <c r="AW21" s="58">
        <v>559</v>
      </c>
      <c r="AX21" s="58" t="s">
        <v>187</v>
      </c>
      <c r="AY21" s="58" t="s">
        <v>111</v>
      </c>
      <c r="AZ21" s="58" t="s">
        <v>68</v>
      </c>
      <c r="BA21" s="58" t="s">
        <v>67</v>
      </c>
      <c r="BB21" s="58" t="s">
        <v>68</v>
      </c>
      <c r="BC21" s="57"/>
      <c r="BD21" s="57"/>
      <c r="BE21" s="57"/>
      <c r="BF21" s="57" t="s">
        <v>2</v>
      </c>
      <c r="BG21" s="57" t="s">
        <v>115</v>
      </c>
      <c r="BH21" s="62" t="s">
        <v>116</v>
      </c>
      <c r="BI21" s="58" t="s">
        <v>128</v>
      </c>
    </row>
    <row r="22" spans="1:61" s="50" customFormat="1" ht="13.5" customHeight="1" outlineLevel="3" x14ac:dyDescent="0.35">
      <c r="A22" s="63"/>
      <c r="B22" s="63" t="s">
        <v>68</v>
      </c>
      <c r="C22" s="64" t="s">
        <v>134</v>
      </c>
      <c r="D22" s="64" t="s">
        <v>161</v>
      </c>
      <c r="E22" s="64" t="s">
        <v>164</v>
      </c>
      <c r="F22" s="64" t="s">
        <v>159</v>
      </c>
      <c r="G22" s="64" t="s">
        <v>166</v>
      </c>
      <c r="H22" s="65" t="s">
        <v>158</v>
      </c>
      <c r="I22" s="65" t="s">
        <v>158</v>
      </c>
      <c r="J22" s="66" t="s">
        <v>158</v>
      </c>
      <c r="K22" s="64" t="s">
        <v>158</v>
      </c>
      <c r="L22" s="67" t="s">
        <v>158</v>
      </c>
      <c r="M22" s="67" t="s">
        <v>158</v>
      </c>
      <c r="N22" s="67" t="s">
        <v>158</v>
      </c>
      <c r="O22" s="67" t="s">
        <v>158</v>
      </c>
      <c r="P22" s="68">
        <f t="shared" si="0"/>
        <v>0</v>
      </c>
      <c r="Q22" s="68" t="s">
        <v>124</v>
      </c>
      <c r="R22" s="68" t="s">
        <v>124</v>
      </c>
      <c r="S22" s="68" t="s">
        <v>68</v>
      </c>
      <c r="T22" s="63" t="s">
        <v>91</v>
      </c>
      <c r="U22" s="69" t="s">
        <v>74</v>
      </c>
      <c r="V22" s="70"/>
      <c r="W22" s="71"/>
      <c r="X22" s="71"/>
      <c r="Y22" s="71"/>
      <c r="Z22" s="71" t="s">
        <v>26</v>
      </c>
      <c r="AA22" s="71"/>
      <c r="AB22" s="71"/>
      <c r="AC22" s="71"/>
      <c r="AD22" s="71"/>
      <c r="AE22" s="71"/>
      <c r="AF22" s="71"/>
      <c r="AG22" s="71"/>
      <c r="AH22" s="71"/>
      <c r="AI22" s="71"/>
      <c r="AJ22" s="71"/>
      <c r="AK22" s="68"/>
      <c r="AL22" s="68"/>
      <c r="AM22" s="68"/>
      <c r="AN22" s="68"/>
      <c r="AO22" s="68"/>
      <c r="AP22" s="68"/>
      <c r="AQ22" s="68"/>
      <c r="AR22" s="68"/>
      <c r="AS22" s="68"/>
      <c r="AT22" s="68"/>
      <c r="AU22" s="68"/>
      <c r="AV22" s="68"/>
      <c r="AW22" s="63">
        <v>540</v>
      </c>
      <c r="AX22" s="63" t="s">
        <v>188</v>
      </c>
      <c r="AY22" s="63" t="s">
        <v>111</v>
      </c>
      <c r="AZ22" s="63" t="s">
        <v>68</v>
      </c>
      <c r="BA22" s="63" t="s">
        <v>67</v>
      </c>
      <c r="BB22" s="63" t="s">
        <v>68</v>
      </c>
      <c r="BC22" s="68"/>
      <c r="BD22" s="68"/>
      <c r="BE22" s="68"/>
      <c r="BF22" s="68" t="s">
        <v>2</v>
      </c>
      <c r="BG22" s="68" t="s">
        <v>115</v>
      </c>
      <c r="BH22" s="72" t="s">
        <v>116</v>
      </c>
      <c r="BI22" s="63" t="s">
        <v>128</v>
      </c>
    </row>
    <row r="23" spans="1:61" s="6" customFormat="1" ht="13.5" customHeight="1" outlineLevel="4" x14ac:dyDescent="0.35">
      <c r="A23" s="73" t="s">
        <v>123</v>
      </c>
      <c r="B23" s="73" t="s">
        <v>126</v>
      </c>
      <c r="C23" s="74" t="s">
        <v>134</v>
      </c>
      <c r="D23" s="74" t="s">
        <v>161</v>
      </c>
      <c r="E23" s="74" t="s">
        <v>164</v>
      </c>
      <c r="F23" s="74" t="s">
        <v>159</v>
      </c>
      <c r="G23" s="74" t="s">
        <v>166</v>
      </c>
      <c r="H23" s="75" t="s">
        <v>159</v>
      </c>
      <c r="I23" s="75" t="s">
        <v>158</v>
      </c>
      <c r="J23" s="76" t="s">
        <v>158</v>
      </c>
      <c r="K23" s="74" t="s">
        <v>158</v>
      </c>
      <c r="L23" s="77" t="s">
        <v>158</v>
      </c>
      <c r="M23" s="77" t="s">
        <v>158</v>
      </c>
      <c r="N23" s="77" t="s">
        <v>158</v>
      </c>
      <c r="O23" s="77" t="s">
        <v>158</v>
      </c>
      <c r="P23" s="78">
        <f t="shared" si="0"/>
        <v>100</v>
      </c>
      <c r="Q23" s="78" t="s">
        <v>67</v>
      </c>
      <c r="R23" s="78" t="s">
        <v>124</v>
      </c>
      <c r="S23" s="79" t="s">
        <v>156</v>
      </c>
      <c r="T23" s="79" t="s">
        <v>91</v>
      </c>
      <c r="U23" s="80" t="s">
        <v>27</v>
      </c>
      <c r="V23" s="81"/>
      <c r="W23" s="82"/>
      <c r="X23" s="82"/>
      <c r="Y23" s="82"/>
      <c r="Z23" s="82"/>
      <c r="AA23" s="82" t="s">
        <v>123</v>
      </c>
      <c r="AB23" s="82"/>
      <c r="AC23" s="82"/>
      <c r="AD23" s="82"/>
      <c r="AE23" s="82"/>
      <c r="AF23" s="82"/>
      <c r="AG23" s="82"/>
      <c r="AH23" s="82"/>
      <c r="AI23" s="82"/>
      <c r="AJ23" s="82"/>
      <c r="AK23" s="78"/>
      <c r="AL23" s="78"/>
      <c r="AM23" s="78"/>
      <c r="AN23" s="78"/>
      <c r="AO23" s="78"/>
      <c r="AP23" s="78"/>
      <c r="AQ23" s="78"/>
      <c r="AR23" s="78"/>
      <c r="AS23" s="78"/>
      <c r="AT23" s="78"/>
      <c r="AU23" s="78"/>
      <c r="AV23" s="78"/>
      <c r="AW23" s="79">
        <v>548</v>
      </c>
      <c r="AX23" s="79" t="s">
        <v>189</v>
      </c>
      <c r="AY23" s="79" t="s">
        <v>111</v>
      </c>
      <c r="AZ23" s="79" t="s">
        <v>68</v>
      </c>
      <c r="BA23" s="79" t="s">
        <v>67</v>
      </c>
      <c r="BB23" s="79" t="s">
        <v>68</v>
      </c>
      <c r="BC23" s="78"/>
      <c r="BD23" s="78"/>
      <c r="BE23" s="78"/>
      <c r="BF23" s="78" t="s">
        <v>2</v>
      </c>
      <c r="BG23" s="78" t="s">
        <v>115</v>
      </c>
      <c r="BH23" s="83" t="s">
        <v>116</v>
      </c>
      <c r="BI23" s="79" t="s">
        <v>128</v>
      </c>
    </row>
    <row r="24" spans="1:61" s="6" customFormat="1" ht="13.5" customHeight="1" outlineLevel="4" x14ac:dyDescent="0.35">
      <c r="A24" s="73" t="s">
        <v>29</v>
      </c>
      <c r="B24" s="73" t="s">
        <v>126</v>
      </c>
      <c r="C24" s="74" t="s">
        <v>134</v>
      </c>
      <c r="D24" s="74" t="s">
        <v>161</v>
      </c>
      <c r="E24" s="74" t="s">
        <v>164</v>
      </c>
      <c r="F24" s="74" t="s">
        <v>159</v>
      </c>
      <c r="G24" s="74" t="s">
        <v>166</v>
      </c>
      <c r="H24" s="75" t="s">
        <v>160</v>
      </c>
      <c r="I24" s="75" t="s">
        <v>158</v>
      </c>
      <c r="J24" s="76" t="s">
        <v>158</v>
      </c>
      <c r="K24" s="74" t="s">
        <v>158</v>
      </c>
      <c r="L24" s="77" t="s">
        <v>158</v>
      </c>
      <c r="M24" s="77" t="s">
        <v>158</v>
      </c>
      <c r="N24" s="77" t="s">
        <v>158</v>
      </c>
      <c r="O24" s="77" t="s">
        <v>158</v>
      </c>
      <c r="P24" s="78">
        <f t="shared" si="0"/>
        <v>97</v>
      </c>
      <c r="Q24" s="78" t="s">
        <v>67</v>
      </c>
      <c r="R24" s="78" t="s">
        <v>124</v>
      </c>
      <c r="S24" s="79" t="s">
        <v>156</v>
      </c>
      <c r="T24" s="79" t="s">
        <v>91</v>
      </c>
      <c r="U24" s="80" t="s">
        <v>28</v>
      </c>
      <c r="V24" s="81"/>
      <c r="W24" s="82"/>
      <c r="X24" s="82"/>
      <c r="Y24" s="82"/>
      <c r="Z24" s="82"/>
      <c r="AA24" s="82" t="s">
        <v>29</v>
      </c>
      <c r="AB24" s="82"/>
      <c r="AC24" s="82"/>
      <c r="AD24" s="82"/>
      <c r="AE24" s="82"/>
      <c r="AF24" s="82"/>
      <c r="AG24" s="82"/>
      <c r="AH24" s="82"/>
      <c r="AI24" s="82"/>
      <c r="AJ24" s="82"/>
      <c r="AK24" s="78"/>
      <c r="AL24" s="78"/>
      <c r="AM24" s="78"/>
      <c r="AN24" s="78"/>
      <c r="AO24" s="78"/>
      <c r="AP24" s="78"/>
      <c r="AQ24" s="78"/>
      <c r="AR24" s="78"/>
      <c r="AS24" s="78"/>
      <c r="AT24" s="78"/>
      <c r="AU24" s="78"/>
      <c r="AV24" s="78"/>
      <c r="AW24" s="79">
        <v>542</v>
      </c>
      <c r="AX24" s="79" t="s">
        <v>190</v>
      </c>
      <c r="AY24" s="79" t="s">
        <v>111</v>
      </c>
      <c r="AZ24" s="79" t="s">
        <v>68</v>
      </c>
      <c r="BA24" s="79" t="s">
        <v>67</v>
      </c>
      <c r="BB24" s="79" t="s">
        <v>68</v>
      </c>
      <c r="BC24" s="78"/>
      <c r="BD24" s="78"/>
      <c r="BE24" s="78"/>
      <c r="BF24" s="78" t="s">
        <v>2</v>
      </c>
      <c r="BG24" s="78" t="s">
        <v>115</v>
      </c>
      <c r="BH24" s="83" t="s">
        <v>116</v>
      </c>
      <c r="BI24" s="79" t="s">
        <v>128</v>
      </c>
    </row>
    <row r="25" spans="1:61" s="6" customFormat="1" ht="13.5" customHeight="1" outlineLevel="4" x14ac:dyDescent="0.35">
      <c r="A25" s="73" t="s">
        <v>31</v>
      </c>
      <c r="B25" s="73" t="s">
        <v>126</v>
      </c>
      <c r="C25" s="74" t="s">
        <v>134</v>
      </c>
      <c r="D25" s="74" t="s">
        <v>161</v>
      </c>
      <c r="E25" s="74" t="s">
        <v>164</v>
      </c>
      <c r="F25" s="74" t="s">
        <v>159</v>
      </c>
      <c r="G25" s="74" t="s">
        <v>166</v>
      </c>
      <c r="H25" s="75" t="s">
        <v>161</v>
      </c>
      <c r="I25" s="75" t="s">
        <v>158</v>
      </c>
      <c r="J25" s="76" t="s">
        <v>158</v>
      </c>
      <c r="K25" s="74" t="s">
        <v>158</v>
      </c>
      <c r="L25" s="77" t="s">
        <v>158</v>
      </c>
      <c r="M25" s="77" t="s">
        <v>158</v>
      </c>
      <c r="N25" s="77" t="s">
        <v>158</v>
      </c>
      <c r="O25" s="77" t="s">
        <v>158</v>
      </c>
      <c r="P25" s="78">
        <f t="shared" si="0"/>
        <v>92</v>
      </c>
      <c r="Q25" s="78" t="s">
        <v>67</v>
      </c>
      <c r="R25" s="78" t="s">
        <v>124</v>
      </c>
      <c r="S25" s="79" t="s">
        <v>156</v>
      </c>
      <c r="T25" s="79" t="s">
        <v>91</v>
      </c>
      <c r="U25" s="80" t="s">
        <v>30</v>
      </c>
      <c r="V25" s="81"/>
      <c r="W25" s="82"/>
      <c r="X25" s="82"/>
      <c r="Y25" s="82"/>
      <c r="Z25" s="82"/>
      <c r="AA25" s="82" t="s">
        <v>31</v>
      </c>
      <c r="AB25" s="82"/>
      <c r="AC25" s="82"/>
      <c r="AD25" s="82"/>
      <c r="AE25" s="82"/>
      <c r="AF25" s="82"/>
      <c r="AG25" s="82"/>
      <c r="AH25" s="82"/>
      <c r="AI25" s="82"/>
      <c r="AJ25" s="82"/>
      <c r="AK25" s="78"/>
      <c r="AL25" s="78"/>
      <c r="AM25" s="78"/>
      <c r="AN25" s="78"/>
      <c r="AO25" s="78"/>
      <c r="AP25" s="78"/>
      <c r="AQ25" s="78"/>
      <c r="AR25" s="78"/>
      <c r="AS25" s="78"/>
      <c r="AT25" s="78"/>
      <c r="AU25" s="78"/>
      <c r="AV25" s="78"/>
      <c r="AW25" s="79">
        <v>543</v>
      </c>
      <c r="AX25" s="79" t="s">
        <v>191</v>
      </c>
      <c r="AY25" s="79" t="s">
        <v>111</v>
      </c>
      <c r="AZ25" s="79" t="s">
        <v>68</v>
      </c>
      <c r="BA25" s="79" t="s">
        <v>67</v>
      </c>
      <c r="BB25" s="79" t="s">
        <v>68</v>
      </c>
      <c r="BC25" s="78"/>
      <c r="BD25" s="78"/>
      <c r="BE25" s="78"/>
      <c r="BF25" s="78" t="s">
        <v>2</v>
      </c>
      <c r="BG25" s="78" t="s">
        <v>115</v>
      </c>
      <c r="BH25" s="83" t="s">
        <v>116</v>
      </c>
      <c r="BI25" s="79" t="s">
        <v>128</v>
      </c>
    </row>
    <row r="26" spans="1:61" s="6" customFormat="1" ht="13.5" customHeight="1" outlineLevel="4" x14ac:dyDescent="0.35">
      <c r="A26" s="73" t="s">
        <v>33</v>
      </c>
      <c r="B26" s="73" t="s">
        <v>126</v>
      </c>
      <c r="C26" s="74" t="s">
        <v>134</v>
      </c>
      <c r="D26" s="74" t="s">
        <v>161</v>
      </c>
      <c r="E26" s="74" t="s">
        <v>164</v>
      </c>
      <c r="F26" s="74" t="s">
        <v>159</v>
      </c>
      <c r="G26" s="74" t="s">
        <v>166</v>
      </c>
      <c r="H26" s="75" t="s">
        <v>162</v>
      </c>
      <c r="I26" s="75" t="s">
        <v>158</v>
      </c>
      <c r="J26" s="76" t="s">
        <v>158</v>
      </c>
      <c r="K26" s="74" t="s">
        <v>158</v>
      </c>
      <c r="L26" s="77" t="s">
        <v>158</v>
      </c>
      <c r="M26" s="77" t="s">
        <v>158</v>
      </c>
      <c r="N26" s="77" t="s">
        <v>158</v>
      </c>
      <c r="O26" s="77" t="s">
        <v>158</v>
      </c>
      <c r="P26" s="78">
        <f t="shared" si="0"/>
        <v>77</v>
      </c>
      <c r="Q26" s="78" t="s">
        <v>67</v>
      </c>
      <c r="R26" s="78" t="s">
        <v>124</v>
      </c>
      <c r="S26" s="79" t="s">
        <v>156</v>
      </c>
      <c r="T26" s="79" t="s">
        <v>91</v>
      </c>
      <c r="U26" s="80" t="s">
        <v>32</v>
      </c>
      <c r="V26" s="81"/>
      <c r="W26" s="82"/>
      <c r="X26" s="82"/>
      <c r="Y26" s="82"/>
      <c r="Z26" s="82"/>
      <c r="AA26" s="82" t="s">
        <v>33</v>
      </c>
      <c r="AB26" s="82"/>
      <c r="AC26" s="82"/>
      <c r="AD26" s="82"/>
      <c r="AE26" s="82"/>
      <c r="AF26" s="82"/>
      <c r="AG26" s="82"/>
      <c r="AH26" s="82"/>
      <c r="AI26" s="82"/>
      <c r="AJ26" s="82"/>
      <c r="AK26" s="78"/>
      <c r="AL26" s="78"/>
      <c r="AM26" s="78"/>
      <c r="AN26" s="78"/>
      <c r="AO26" s="78"/>
      <c r="AP26" s="78"/>
      <c r="AQ26" s="78"/>
      <c r="AR26" s="78"/>
      <c r="AS26" s="78"/>
      <c r="AT26" s="78"/>
      <c r="AU26" s="78"/>
      <c r="AV26" s="78"/>
      <c r="AW26" s="79">
        <v>544</v>
      </c>
      <c r="AX26" s="79" t="s">
        <v>192</v>
      </c>
      <c r="AY26" s="79" t="s">
        <v>111</v>
      </c>
      <c r="AZ26" s="79" t="s">
        <v>68</v>
      </c>
      <c r="BA26" s="79" t="s">
        <v>67</v>
      </c>
      <c r="BB26" s="79" t="s">
        <v>68</v>
      </c>
      <c r="BC26" s="78"/>
      <c r="BD26" s="78"/>
      <c r="BE26" s="78"/>
      <c r="BF26" s="78" t="s">
        <v>2</v>
      </c>
      <c r="BG26" s="78" t="s">
        <v>115</v>
      </c>
      <c r="BH26" s="83" t="s">
        <v>116</v>
      </c>
      <c r="BI26" s="79" t="s">
        <v>128</v>
      </c>
    </row>
    <row r="27" spans="1:61" s="50" customFormat="1" ht="13.5" customHeight="1" outlineLevel="4" x14ac:dyDescent="0.35">
      <c r="A27" s="84"/>
      <c r="B27" s="84" t="s">
        <v>68</v>
      </c>
      <c r="C27" s="85" t="s">
        <v>134</v>
      </c>
      <c r="D27" s="85" t="s">
        <v>161</v>
      </c>
      <c r="E27" s="85" t="s">
        <v>164</v>
      </c>
      <c r="F27" s="85" t="s">
        <v>159</v>
      </c>
      <c r="G27" s="85" t="s">
        <v>166</v>
      </c>
      <c r="H27" s="86" t="s">
        <v>163</v>
      </c>
      <c r="I27" s="86" t="s">
        <v>158</v>
      </c>
      <c r="J27" s="87" t="s">
        <v>158</v>
      </c>
      <c r="K27" s="85" t="s">
        <v>158</v>
      </c>
      <c r="L27" s="88" t="s">
        <v>158</v>
      </c>
      <c r="M27" s="88" t="s">
        <v>158</v>
      </c>
      <c r="N27" s="88" t="s">
        <v>158</v>
      </c>
      <c r="O27" s="88" t="s">
        <v>158</v>
      </c>
      <c r="P27" s="89">
        <f t="shared" si="0"/>
        <v>0</v>
      </c>
      <c r="Q27" s="89" t="s">
        <v>124</v>
      </c>
      <c r="R27" s="89" t="s">
        <v>124</v>
      </c>
      <c r="S27" s="89" t="s">
        <v>68</v>
      </c>
      <c r="T27" s="84" t="s">
        <v>91</v>
      </c>
      <c r="U27" s="90" t="s">
        <v>34</v>
      </c>
      <c r="V27" s="91"/>
      <c r="W27" s="92"/>
      <c r="X27" s="92"/>
      <c r="Y27" s="92"/>
      <c r="Z27" s="92"/>
      <c r="AA27" s="92" t="s">
        <v>35</v>
      </c>
      <c r="AB27" s="92"/>
      <c r="AC27" s="92"/>
      <c r="AD27" s="92"/>
      <c r="AE27" s="92"/>
      <c r="AF27" s="92"/>
      <c r="AG27" s="92"/>
      <c r="AH27" s="92"/>
      <c r="AI27" s="92"/>
      <c r="AJ27" s="92"/>
      <c r="AK27" s="89"/>
      <c r="AL27" s="89"/>
      <c r="AM27" s="89"/>
      <c r="AN27" s="89"/>
      <c r="AO27" s="89"/>
      <c r="AP27" s="89"/>
      <c r="AQ27" s="89"/>
      <c r="AR27" s="89"/>
      <c r="AS27" s="89"/>
      <c r="AT27" s="89"/>
      <c r="AU27" s="89"/>
      <c r="AV27" s="89"/>
      <c r="AW27" s="84">
        <v>540</v>
      </c>
      <c r="AX27" s="84" t="s">
        <v>193</v>
      </c>
      <c r="AY27" s="84" t="s">
        <v>111</v>
      </c>
      <c r="AZ27" s="84" t="s">
        <v>68</v>
      </c>
      <c r="BA27" s="84" t="s">
        <v>67</v>
      </c>
      <c r="BB27" s="84" t="s">
        <v>68</v>
      </c>
      <c r="BC27" s="89"/>
      <c r="BD27" s="89"/>
      <c r="BE27" s="89"/>
      <c r="BF27" s="89" t="s">
        <v>2</v>
      </c>
      <c r="BG27" s="89" t="s">
        <v>115</v>
      </c>
      <c r="BH27" s="93" t="s">
        <v>116</v>
      </c>
      <c r="BI27" s="84" t="s">
        <v>128</v>
      </c>
    </row>
    <row r="28" spans="1:61" s="6" customFormat="1" ht="13.5" customHeight="1" outlineLevel="5" x14ac:dyDescent="0.35">
      <c r="A28" s="94" t="s">
        <v>37</v>
      </c>
      <c r="B28" s="94" t="s">
        <v>126</v>
      </c>
      <c r="C28" s="95" t="s">
        <v>134</v>
      </c>
      <c r="D28" s="95" t="s">
        <v>161</v>
      </c>
      <c r="E28" s="95" t="s">
        <v>164</v>
      </c>
      <c r="F28" s="95" t="s">
        <v>159</v>
      </c>
      <c r="G28" s="95" t="s">
        <v>166</v>
      </c>
      <c r="H28" s="96" t="s">
        <v>163</v>
      </c>
      <c r="I28" s="96" t="s">
        <v>159</v>
      </c>
      <c r="J28" s="97" t="s">
        <v>158</v>
      </c>
      <c r="K28" s="95" t="s">
        <v>158</v>
      </c>
      <c r="L28" s="98" t="s">
        <v>158</v>
      </c>
      <c r="M28" s="98" t="s">
        <v>158</v>
      </c>
      <c r="N28" s="98" t="s">
        <v>158</v>
      </c>
      <c r="O28" s="98" t="s">
        <v>158</v>
      </c>
      <c r="P28" s="99">
        <f t="shared" si="0"/>
        <v>90</v>
      </c>
      <c r="Q28" s="99" t="s">
        <v>67</v>
      </c>
      <c r="R28" s="99" t="s">
        <v>124</v>
      </c>
      <c r="S28" s="100" t="s">
        <v>156</v>
      </c>
      <c r="T28" s="100" t="s">
        <v>91</v>
      </c>
      <c r="U28" s="101" t="s">
        <v>36</v>
      </c>
      <c r="V28" s="102"/>
      <c r="W28" s="103"/>
      <c r="X28" s="103"/>
      <c r="Y28" s="103"/>
      <c r="Z28" s="103"/>
      <c r="AA28" s="103"/>
      <c r="AB28" s="103" t="s">
        <v>37</v>
      </c>
      <c r="AC28" s="103"/>
      <c r="AD28" s="103"/>
      <c r="AE28" s="103"/>
      <c r="AF28" s="103"/>
      <c r="AG28" s="103"/>
      <c r="AH28" s="103"/>
      <c r="AI28" s="103"/>
      <c r="AJ28" s="103"/>
      <c r="AK28" s="99"/>
      <c r="AL28" s="99"/>
      <c r="AM28" s="99"/>
      <c r="AN28" s="99"/>
      <c r="AO28" s="99"/>
      <c r="AP28" s="99"/>
      <c r="AQ28" s="99"/>
      <c r="AR28" s="99"/>
      <c r="AS28" s="99"/>
      <c r="AT28" s="99"/>
      <c r="AU28" s="99"/>
      <c r="AV28" s="99"/>
      <c r="AW28" s="100">
        <v>540.1</v>
      </c>
      <c r="AX28" s="100" t="s">
        <v>194</v>
      </c>
      <c r="AY28" s="100" t="s">
        <v>111</v>
      </c>
      <c r="AZ28" s="100" t="s">
        <v>68</v>
      </c>
      <c r="BA28" s="100" t="s">
        <v>67</v>
      </c>
      <c r="BB28" s="100" t="s">
        <v>68</v>
      </c>
      <c r="BC28" s="99"/>
      <c r="BD28" s="99"/>
      <c r="BE28" s="99"/>
      <c r="BF28" s="99" t="s">
        <v>2</v>
      </c>
      <c r="BG28" s="99" t="s">
        <v>115</v>
      </c>
      <c r="BH28" s="104" t="s">
        <v>116</v>
      </c>
      <c r="BI28" s="100" t="s">
        <v>128</v>
      </c>
    </row>
    <row r="29" spans="1:61" s="6" customFormat="1" ht="13.5" customHeight="1" outlineLevel="5" x14ac:dyDescent="0.35">
      <c r="A29" s="94" t="s">
        <v>38</v>
      </c>
      <c r="B29" s="94" t="s">
        <v>126</v>
      </c>
      <c r="C29" s="95" t="s">
        <v>134</v>
      </c>
      <c r="D29" s="95" t="s">
        <v>161</v>
      </c>
      <c r="E29" s="95" t="s">
        <v>164</v>
      </c>
      <c r="F29" s="95" t="s">
        <v>159</v>
      </c>
      <c r="G29" s="95" t="s">
        <v>166</v>
      </c>
      <c r="H29" s="96" t="s">
        <v>163</v>
      </c>
      <c r="I29" s="96" t="s">
        <v>160</v>
      </c>
      <c r="J29" s="97" t="s">
        <v>158</v>
      </c>
      <c r="K29" s="95" t="s">
        <v>158</v>
      </c>
      <c r="L29" s="98" t="s">
        <v>158</v>
      </c>
      <c r="M29" s="98" t="s">
        <v>158</v>
      </c>
      <c r="N29" s="98" t="s">
        <v>158</v>
      </c>
      <c r="O29" s="98" t="s">
        <v>158</v>
      </c>
      <c r="P29" s="99">
        <f t="shared" si="0"/>
        <v>90</v>
      </c>
      <c r="Q29" s="99" t="s">
        <v>67</v>
      </c>
      <c r="R29" s="99" t="s">
        <v>124</v>
      </c>
      <c r="S29" s="100" t="s">
        <v>156</v>
      </c>
      <c r="T29" s="100" t="s">
        <v>91</v>
      </c>
      <c r="U29" s="101" t="s">
        <v>36</v>
      </c>
      <c r="V29" s="102"/>
      <c r="W29" s="103"/>
      <c r="X29" s="103"/>
      <c r="Y29" s="103"/>
      <c r="Z29" s="103"/>
      <c r="AA29" s="103"/>
      <c r="AB29" s="103" t="s">
        <v>38</v>
      </c>
      <c r="AC29" s="103"/>
      <c r="AD29" s="103"/>
      <c r="AE29" s="103"/>
      <c r="AF29" s="103"/>
      <c r="AG29" s="103"/>
      <c r="AH29" s="103"/>
      <c r="AI29" s="103"/>
      <c r="AJ29" s="103"/>
      <c r="AK29" s="99"/>
      <c r="AL29" s="99"/>
      <c r="AM29" s="99"/>
      <c r="AN29" s="99"/>
      <c r="AO29" s="99"/>
      <c r="AP29" s="99"/>
      <c r="AQ29" s="99"/>
      <c r="AR29" s="99"/>
      <c r="AS29" s="99"/>
      <c r="AT29" s="99"/>
      <c r="AU29" s="99"/>
      <c r="AV29" s="99"/>
      <c r="AW29" s="100">
        <v>540.20000000000005</v>
      </c>
      <c r="AX29" s="100" t="s">
        <v>195</v>
      </c>
      <c r="AY29" s="100" t="s">
        <v>111</v>
      </c>
      <c r="AZ29" s="100" t="s">
        <v>68</v>
      </c>
      <c r="BA29" s="100" t="s">
        <v>67</v>
      </c>
      <c r="BB29" s="100" t="s">
        <v>68</v>
      </c>
      <c r="BC29" s="99"/>
      <c r="BD29" s="99"/>
      <c r="BE29" s="99"/>
      <c r="BF29" s="99" t="s">
        <v>2</v>
      </c>
      <c r="BG29" s="99" t="s">
        <v>115</v>
      </c>
      <c r="BH29" s="104" t="s">
        <v>116</v>
      </c>
      <c r="BI29" s="100" t="s">
        <v>128</v>
      </c>
    </row>
    <row r="30" spans="1:61" s="6" customFormat="1" ht="13.5" customHeight="1" outlineLevel="5" x14ac:dyDescent="0.35">
      <c r="A30" s="94" t="s">
        <v>39</v>
      </c>
      <c r="B30" s="94" t="s">
        <v>126</v>
      </c>
      <c r="C30" s="95" t="s">
        <v>134</v>
      </c>
      <c r="D30" s="95" t="s">
        <v>161</v>
      </c>
      <c r="E30" s="95" t="s">
        <v>164</v>
      </c>
      <c r="F30" s="95" t="s">
        <v>159</v>
      </c>
      <c r="G30" s="95" t="s">
        <v>166</v>
      </c>
      <c r="H30" s="96" t="s">
        <v>163</v>
      </c>
      <c r="I30" s="96" t="s">
        <v>161</v>
      </c>
      <c r="J30" s="97" t="s">
        <v>158</v>
      </c>
      <c r="K30" s="95" t="s">
        <v>158</v>
      </c>
      <c r="L30" s="98" t="s">
        <v>158</v>
      </c>
      <c r="M30" s="98" t="s">
        <v>158</v>
      </c>
      <c r="N30" s="98" t="s">
        <v>158</v>
      </c>
      <c r="O30" s="98" t="s">
        <v>158</v>
      </c>
      <c r="P30" s="99">
        <f t="shared" si="0"/>
        <v>90</v>
      </c>
      <c r="Q30" s="99" t="s">
        <v>67</v>
      </c>
      <c r="R30" s="99" t="s">
        <v>124</v>
      </c>
      <c r="S30" s="100" t="s">
        <v>156</v>
      </c>
      <c r="T30" s="100" t="s">
        <v>91</v>
      </c>
      <c r="U30" s="101" t="s">
        <v>36</v>
      </c>
      <c r="V30" s="102"/>
      <c r="W30" s="103"/>
      <c r="X30" s="103"/>
      <c r="Y30" s="103"/>
      <c r="Z30" s="103"/>
      <c r="AA30" s="103"/>
      <c r="AB30" s="103" t="s">
        <v>39</v>
      </c>
      <c r="AC30" s="103"/>
      <c r="AD30" s="103"/>
      <c r="AE30" s="103"/>
      <c r="AF30" s="103"/>
      <c r="AG30" s="103"/>
      <c r="AH30" s="103"/>
      <c r="AI30" s="103"/>
      <c r="AJ30" s="103"/>
      <c r="AK30" s="99"/>
      <c r="AL30" s="99"/>
      <c r="AM30" s="99"/>
      <c r="AN30" s="99"/>
      <c r="AO30" s="99"/>
      <c r="AP30" s="99"/>
      <c r="AQ30" s="99"/>
      <c r="AR30" s="99"/>
      <c r="AS30" s="99"/>
      <c r="AT30" s="99"/>
      <c r="AU30" s="99"/>
      <c r="AV30" s="99"/>
      <c r="AW30" s="100">
        <v>540.29999999999995</v>
      </c>
      <c r="AX30" s="100" t="s">
        <v>196</v>
      </c>
      <c r="AY30" s="100" t="s">
        <v>111</v>
      </c>
      <c r="AZ30" s="100" t="s">
        <v>68</v>
      </c>
      <c r="BA30" s="100" t="s">
        <v>67</v>
      </c>
      <c r="BB30" s="100" t="s">
        <v>68</v>
      </c>
      <c r="BC30" s="99"/>
      <c r="BD30" s="99"/>
      <c r="BE30" s="99"/>
      <c r="BF30" s="99" t="s">
        <v>2</v>
      </c>
      <c r="BG30" s="99" t="s">
        <v>115</v>
      </c>
      <c r="BH30" s="104" t="s">
        <v>116</v>
      </c>
      <c r="BI30" s="100" t="s">
        <v>128</v>
      </c>
    </row>
    <row r="31" spans="1:61" s="6" customFormat="1" ht="13.5" customHeight="1" outlineLevel="5" x14ac:dyDescent="0.35">
      <c r="A31" s="94" t="s">
        <v>40</v>
      </c>
      <c r="B31" s="94" t="s">
        <v>126</v>
      </c>
      <c r="C31" s="95" t="s">
        <v>134</v>
      </c>
      <c r="D31" s="95" t="s">
        <v>161</v>
      </c>
      <c r="E31" s="95" t="s">
        <v>164</v>
      </c>
      <c r="F31" s="95" t="s">
        <v>159</v>
      </c>
      <c r="G31" s="95" t="s">
        <v>166</v>
      </c>
      <c r="H31" s="96" t="s">
        <v>163</v>
      </c>
      <c r="I31" s="96" t="s">
        <v>162</v>
      </c>
      <c r="J31" s="97" t="s">
        <v>158</v>
      </c>
      <c r="K31" s="95" t="s">
        <v>158</v>
      </c>
      <c r="L31" s="98" t="s">
        <v>158</v>
      </c>
      <c r="M31" s="98" t="s">
        <v>158</v>
      </c>
      <c r="N31" s="98" t="s">
        <v>158</v>
      </c>
      <c r="O31" s="98" t="s">
        <v>158</v>
      </c>
      <c r="P31" s="99">
        <f t="shared" si="0"/>
        <v>90</v>
      </c>
      <c r="Q31" s="99" t="s">
        <v>67</v>
      </c>
      <c r="R31" s="99" t="s">
        <v>124</v>
      </c>
      <c r="S31" s="100" t="s">
        <v>156</v>
      </c>
      <c r="T31" s="100" t="s">
        <v>91</v>
      </c>
      <c r="U31" s="101" t="s">
        <v>36</v>
      </c>
      <c r="V31" s="102"/>
      <c r="W31" s="103"/>
      <c r="X31" s="103"/>
      <c r="Y31" s="103"/>
      <c r="Z31" s="103"/>
      <c r="AA31" s="103"/>
      <c r="AB31" s="103" t="s">
        <v>40</v>
      </c>
      <c r="AC31" s="103"/>
      <c r="AD31" s="103"/>
      <c r="AE31" s="103"/>
      <c r="AF31" s="103"/>
      <c r="AG31" s="103"/>
      <c r="AH31" s="103"/>
      <c r="AI31" s="103"/>
      <c r="AJ31" s="103"/>
      <c r="AK31" s="99"/>
      <c r="AL31" s="99"/>
      <c r="AM31" s="99"/>
      <c r="AN31" s="99"/>
      <c r="AO31" s="99"/>
      <c r="AP31" s="99"/>
      <c r="AQ31" s="99"/>
      <c r="AR31" s="99"/>
      <c r="AS31" s="99"/>
      <c r="AT31" s="99"/>
      <c r="AU31" s="99"/>
      <c r="AV31" s="99"/>
      <c r="AW31" s="100">
        <v>540.4</v>
      </c>
      <c r="AX31" s="100" t="s">
        <v>197</v>
      </c>
      <c r="AY31" s="100" t="s">
        <v>111</v>
      </c>
      <c r="AZ31" s="100" t="s">
        <v>68</v>
      </c>
      <c r="BA31" s="100" t="s">
        <v>67</v>
      </c>
      <c r="BB31" s="100" t="s">
        <v>68</v>
      </c>
      <c r="BC31" s="99"/>
      <c r="BD31" s="99"/>
      <c r="BE31" s="99"/>
      <c r="BF31" s="99" t="s">
        <v>2</v>
      </c>
      <c r="BG31" s="99" t="s">
        <v>115</v>
      </c>
      <c r="BH31" s="104" t="s">
        <v>116</v>
      </c>
      <c r="BI31" s="100" t="s">
        <v>128</v>
      </c>
    </row>
    <row r="32" spans="1:61" s="6" customFormat="1" ht="13.5" customHeight="1" outlineLevel="5" x14ac:dyDescent="0.35">
      <c r="A32" s="94" t="s">
        <v>140</v>
      </c>
      <c r="B32" s="94" t="s">
        <v>126</v>
      </c>
      <c r="C32" s="95" t="s">
        <v>134</v>
      </c>
      <c r="D32" s="95" t="s">
        <v>161</v>
      </c>
      <c r="E32" s="95" t="s">
        <v>164</v>
      </c>
      <c r="F32" s="95" t="s">
        <v>159</v>
      </c>
      <c r="G32" s="95" t="s">
        <v>166</v>
      </c>
      <c r="H32" s="96" t="s">
        <v>163</v>
      </c>
      <c r="I32" s="96" t="s">
        <v>163</v>
      </c>
      <c r="J32" s="97" t="s">
        <v>158</v>
      </c>
      <c r="K32" s="95" t="s">
        <v>158</v>
      </c>
      <c r="L32" s="98" t="s">
        <v>158</v>
      </c>
      <c r="M32" s="98" t="s">
        <v>158</v>
      </c>
      <c r="N32" s="98" t="s">
        <v>158</v>
      </c>
      <c r="O32" s="98" t="s">
        <v>158</v>
      </c>
      <c r="P32" s="99">
        <f>LEN(A32)</f>
        <v>81</v>
      </c>
      <c r="Q32" s="99" t="s">
        <v>67</v>
      </c>
      <c r="R32" s="99" t="s">
        <v>124</v>
      </c>
      <c r="S32" s="100" t="s">
        <v>156</v>
      </c>
      <c r="T32" s="100" t="s">
        <v>91</v>
      </c>
      <c r="U32" s="101" t="s">
        <v>142</v>
      </c>
      <c r="V32" s="102"/>
      <c r="W32" s="103"/>
      <c r="X32" s="103"/>
      <c r="Y32" s="103"/>
      <c r="Z32" s="103"/>
      <c r="AA32" s="103"/>
      <c r="AB32" s="103" t="s">
        <v>140</v>
      </c>
      <c r="AC32" s="103"/>
      <c r="AD32" s="103"/>
      <c r="AE32" s="103"/>
      <c r="AF32" s="103"/>
      <c r="AG32" s="103"/>
      <c r="AH32" s="103"/>
      <c r="AI32" s="103"/>
      <c r="AJ32" s="103"/>
      <c r="AK32" s="99"/>
      <c r="AL32" s="99"/>
      <c r="AM32" s="99"/>
      <c r="AN32" s="99"/>
      <c r="AO32" s="99"/>
      <c r="AP32" s="99"/>
      <c r="AQ32" s="99"/>
      <c r="AR32" s="99"/>
      <c r="AS32" s="99"/>
      <c r="AT32" s="99"/>
      <c r="AU32" s="99"/>
      <c r="AV32" s="99"/>
      <c r="AW32" s="100"/>
      <c r="AX32" s="100" t="s">
        <v>198</v>
      </c>
      <c r="AY32" s="100"/>
      <c r="AZ32" s="100"/>
      <c r="BA32" s="100"/>
      <c r="BB32" s="100"/>
      <c r="BC32" s="99"/>
      <c r="BD32" s="99"/>
      <c r="BE32" s="99"/>
      <c r="BF32" s="99"/>
      <c r="BG32" s="99"/>
      <c r="BH32" s="104"/>
      <c r="BI32" s="100"/>
    </row>
    <row r="33" spans="1:61" s="50" customFormat="1" ht="13.5" customHeight="1" outlineLevel="4" x14ac:dyDescent="0.35">
      <c r="A33" s="105"/>
      <c r="B33" s="105" t="s">
        <v>68</v>
      </c>
      <c r="C33" s="106" t="s">
        <v>134</v>
      </c>
      <c r="D33" s="106" t="s">
        <v>161</v>
      </c>
      <c r="E33" s="106" t="s">
        <v>164</v>
      </c>
      <c r="F33" s="106" t="s">
        <v>159</v>
      </c>
      <c r="G33" s="106" t="s">
        <v>166</v>
      </c>
      <c r="H33" s="107" t="s">
        <v>164</v>
      </c>
      <c r="I33" s="107" t="s">
        <v>158</v>
      </c>
      <c r="J33" s="108" t="s">
        <v>158</v>
      </c>
      <c r="K33" s="106" t="s">
        <v>158</v>
      </c>
      <c r="L33" s="109" t="s">
        <v>158</v>
      </c>
      <c r="M33" s="109" t="s">
        <v>158</v>
      </c>
      <c r="N33" s="109" t="s">
        <v>158</v>
      </c>
      <c r="O33" s="109" t="s">
        <v>158</v>
      </c>
      <c r="P33" s="110">
        <f t="shared" si="0"/>
        <v>0</v>
      </c>
      <c r="Q33" s="110" t="s">
        <v>124</v>
      </c>
      <c r="R33" s="110" t="s">
        <v>124</v>
      </c>
      <c r="S33" s="110" t="s">
        <v>68</v>
      </c>
      <c r="T33" s="105" t="s">
        <v>91</v>
      </c>
      <c r="U33" s="111" t="s">
        <v>41</v>
      </c>
      <c r="V33" s="112"/>
      <c r="W33" s="113"/>
      <c r="X33" s="113"/>
      <c r="Y33" s="113"/>
      <c r="Z33" s="113"/>
      <c r="AA33" s="113" t="s">
        <v>42</v>
      </c>
      <c r="AB33" s="113"/>
      <c r="AC33" s="113"/>
      <c r="AD33" s="113"/>
      <c r="AE33" s="113"/>
      <c r="AF33" s="113"/>
      <c r="AG33" s="113"/>
      <c r="AH33" s="113"/>
      <c r="AI33" s="113"/>
      <c r="AJ33" s="113"/>
      <c r="AK33" s="110"/>
      <c r="AL33" s="110"/>
      <c r="AM33" s="110"/>
      <c r="AN33" s="110"/>
      <c r="AO33" s="110"/>
      <c r="AP33" s="110"/>
      <c r="AQ33" s="110"/>
      <c r="AR33" s="110"/>
      <c r="AS33" s="110"/>
      <c r="AT33" s="110"/>
      <c r="AU33" s="110"/>
      <c r="AV33" s="110"/>
      <c r="AW33" s="105">
        <v>541</v>
      </c>
      <c r="AX33" s="105" t="s">
        <v>199</v>
      </c>
      <c r="AY33" s="105" t="s">
        <v>111</v>
      </c>
      <c r="AZ33" s="105" t="s">
        <v>68</v>
      </c>
      <c r="BA33" s="105" t="s">
        <v>67</v>
      </c>
      <c r="BB33" s="105" t="s">
        <v>68</v>
      </c>
      <c r="BC33" s="110"/>
      <c r="BD33" s="110"/>
      <c r="BE33" s="110"/>
      <c r="BF33" s="110" t="s">
        <v>2</v>
      </c>
      <c r="BG33" s="110" t="s">
        <v>115</v>
      </c>
      <c r="BH33" s="114" t="s">
        <v>116</v>
      </c>
      <c r="BI33" s="105" t="s">
        <v>128</v>
      </c>
    </row>
    <row r="34" spans="1:61" s="6" customFormat="1" ht="13.5" customHeight="1" outlineLevel="5" x14ac:dyDescent="0.35">
      <c r="A34" s="115" t="s">
        <v>72</v>
      </c>
      <c r="B34" s="115" t="s">
        <v>126</v>
      </c>
      <c r="C34" s="116" t="s">
        <v>134</v>
      </c>
      <c r="D34" s="116" t="s">
        <v>161</v>
      </c>
      <c r="E34" s="116" t="s">
        <v>164</v>
      </c>
      <c r="F34" s="116" t="s">
        <v>159</v>
      </c>
      <c r="G34" s="116" t="s">
        <v>166</v>
      </c>
      <c r="H34" s="117" t="s">
        <v>164</v>
      </c>
      <c r="I34" s="117" t="s">
        <v>159</v>
      </c>
      <c r="J34" s="118" t="s">
        <v>158</v>
      </c>
      <c r="K34" s="116" t="s">
        <v>158</v>
      </c>
      <c r="L34" s="119" t="s">
        <v>158</v>
      </c>
      <c r="M34" s="119" t="s">
        <v>158</v>
      </c>
      <c r="N34" s="119" t="s">
        <v>158</v>
      </c>
      <c r="O34" s="119" t="s">
        <v>158</v>
      </c>
      <c r="P34" s="120">
        <f t="shared" si="0"/>
        <v>87</v>
      </c>
      <c r="Q34" s="120" t="s">
        <v>67</v>
      </c>
      <c r="R34" s="120" t="s">
        <v>124</v>
      </c>
      <c r="S34" s="121" t="s">
        <v>156</v>
      </c>
      <c r="T34" s="121" t="s">
        <v>91</v>
      </c>
      <c r="U34" s="122" t="s">
        <v>43</v>
      </c>
      <c r="V34" s="123"/>
      <c r="W34" s="124"/>
      <c r="X34" s="124"/>
      <c r="Y34" s="124"/>
      <c r="Z34" s="124"/>
      <c r="AA34" s="124"/>
      <c r="AB34" s="124" t="s">
        <v>72</v>
      </c>
      <c r="AC34" s="124"/>
      <c r="AD34" s="124"/>
      <c r="AE34" s="124"/>
      <c r="AF34" s="124"/>
      <c r="AG34" s="124"/>
      <c r="AH34" s="124"/>
      <c r="AI34" s="124"/>
      <c r="AJ34" s="124"/>
      <c r="AK34" s="120"/>
      <c r="AL34" s="120"/>
      <c r="AM34" s="120"/>
      <c r="AN34" s="120"/>
      <c r="AO34" s="120"/>
      <c r="AP34" s="120"/>
      <c r="AQ34" s="120"/>
      <c r="AR34" s="120"/>
      <c r="AS34" s="120"/>
      <c r="AT34" s="120"/>
      <c r="AU34" s="120"/>
      <c r="AV34" s="120"/>
      <c r="AW34" s="121">
        <v>541.1</v>
      </c>
      <c r="AX34" s="121" t="s">
        <v>200</v>
      </c>
      <c r="AY34" s="121" t="s">
        <v>111</v>
      </c>
      <c r="AZ34" s="121" t="s">
        <v>68</v>
      </c>
      <c r="BA34" s="121" t="s">
        <v>67</v>
      </c>
      <c r="BB34" s="121" t="s">
        <v>68</v>
      </c>
      <c r="BC34" s="120"/>
      <c r="BD34" s="120"/>
      <c r="BE34" s="120"/>
      <c r="BF34" s="120" t="s">
        <v>2</v>
      </c>
      <c r="BG34" s="120" t="s">
        <v>115</v>
      </c>
      <c r="BH34" s="125" t="s">
        <v>116</v>
      </c>
      <c r="BI34" s="121" t="s">
        <v>128</v>
      </c>
    </row>
    <row r="35" spans="1:61" s="6" customFormat="1" ht="13.5" customHeight="1" outlineLevel="5" x14ac:dyDescent="0.35">
      <c r="A35" s="115" t="s">
        <v>45</v>
      </c>
      <c r="B35" s="115" t="s">
        <v>126</v>
      </c>
      <c r="C35" s="116" t="s">
        <v>134</v>
      </c>
      <c r="D35" s="116" t="s">
        <v>161</v>
      </c>
      <c r="E35" s="116" t="s">
        <v>164</v>
      </c>
      <c r="F35" s="116" t="s">
        <v>159</v>
      </c>
      <c r="G35" s="116" t="s">
        <v>166</v>
      </c>
      <c r="H35" s="117" t="s">
        <v>164</v>
      </c>
      <c r="I35" s="117" t="s">
        <v>160</v>
      </c>
      <c r="J35" s="118" t="s">
        <v>158</v>
      </c>
      <c r="K35" s="116" t="s">
        <v>158</v>
      </c>
      <c r="L35" s="119" t="s">
        <v>158</v>
      </c>
      <c r="M35" s="119" t="s">
        <v>158</v>
      </c>
      <c r="N35" s="119" t="s">
        <v>158</v>
      </c>
      <c r="O35" s="119" t="s">
        <v>158</v>
      </c>
      <c r="P35" s="120">
        <f t="shared" si="0"/>
        <v>87</v>
      </c>
      <c r="Q35" s="120" t="s">
        <v>67</v>
      </c>
      <c r="R35" s="120" t="s">
        <v>124</v>
      </c>
      <c r="S35" s="121" t="s">
        <v>156</v>
      </c>
      <c r="T35" s="121" t="s">
        <v>91</v>
      </c>
      <c r="U35" s="122" t="s">
        <v>44</v>
      </c>
      <c r="V35" s="123"/>
      <c r="W35" s="124"/>
      <c r="X35" s="124"/>
      <c r="Y35" s="124"/>
      <c r="Z35" s="124"/>
      <c r="AA35" s="124"/>
      <c r="AB35" s="124" t="s">
        <v>45</v>
      </c>
      <c r="AC35" s="124"/>
      <c r="AD35" s="124"/>
      <c r="AE35" s="124"/>
      <c r="AF35" s="124"/>
      <c r="AG35" s="124"/>
      <c r="AH35" s="124"/>
      <c r="AI35" s="124"/>
      <c r="AJ35" s="124"/>
      <c r="AK35" s="120"/>
      <c r="AL35" s="120"/>
      <c r="AM35" s="120"/>
      <c r="AN35" s="120"/>
      <c r="AO35" s="120"/>
      <c r="AP35" s="120"/>
      <c r="AQ35" s="120"/>
      <c r="AR35" s="120"/>
      <c r="AS35" s="120"/>
      <c r="AT35" s="120"/>
      <c r="AU35" s="120"/>
      <c r="AV35" s="120"/>
      <c r="AW35" s="121">
        <v>541.20000000000005</v>
      </c>
      <c r="AX35" s="121" t="s">
        <v>201</v>
      </c>
      <c r="AY35" s="121" t="s">
        <v>111</v>
      </c>
      <c r="AZ35" s="121" t="s">
        <v>68</v>
      </c>
      <c r="BA35" s="121" t="s">
        <v>67</v>
      </c>
      <c r="BB35" s="121" t="s">
        <v>68</v>
      </c>
      <c r="BC35" s="120"/>
      <c r="BD35" s="120"/>
      <c r="BE35" s="120"/>
      <c r="BF35" s="120" t="s">
        <v>2</v>
      </c>
      <c r="BG35" s="120" t="s">
        <v>115</v>
      </c>
      <c r="BH35" s="125" t="s">
        <v>116</v>
      </c>
      <c r="BI35" s="121" t="s">
        <v>128</v>
      </c>
    </row>
    <row r="36" spans="1:61" s="6" customFormat="1" ht="13.5" customHeight="1" outlineLevel="5" x14ac:dyDescent="0.35">
      <c r="A36" s="115" t="s">
        <v>47</v>
      </c>
      <c r="B36" s="115" t="s">
        <v>126</v>
      </c>
      <c r="C36" s="116" t="s">
        <v>134</v>
      </c>
      <c r="D36" s="116" t="s">
        <v>161</v>
      </c>
      <c r="E36" s="116" t="s">
        <v>164</v>
      </c>
      <c r="F36" s="116" t="s">
        <v>159</v>
      </c>
      <c r="G36" s="116" t="s">
        <v>166</v>
      </c>
      <c r="H36" s="117" t="s">
        <v>164</v>
      </c>
      <c r="I36" s="117" t="s">
        <v>161</v>
      </c>
      <c r="J36" s="118" t="s">
        <v>158</v>
      </c>
      <c r="K36" s="116" t="s">
        <v>158</v>
      </c>
      <c r="L36" s="119" t="s">
        <v>158</v>
      </c>
      <c r="M36" s="119" t="s">
        <v>158</v>
      </c>
      <c r="N36" s="119" t="s">
        <v>158</v>
      </c>
      <c r="O36" s="119" t="s">
        <v>158</v>
      </c>
      <c r="P36" s="120">
        <f t="shared" si="0"/>
        <v>87</v>
      </c>
      <c r="Q36" s="120" t="s">
        <v>67</v>
      </c>
      <c r="R36" s="120" t="s">
        <v>124</v>
      </c>
      <c r="S36" s="121" t="s">
        <v>156</v>
      </c>
      <c r="T36" s="121" t="s">
        <v>91</v>
      </c>
      <c r="U36" s="122" t="s">
        <v>46</v>
      </c>
      <c r="V36" s="123"/>
      <c r="W36" s="124"/>
      <c r="X36" s="124"/>
      <c r="Y36" s="124"/>
      <c r="Z36" s="124"/>
      <c r="AA36" s="124"/>
      <c r="AB36" s="124" t="s">
        <v>47</v>
      </c>
      <c r="AC36" s="124"/>
      <c r="AD36" s="124"/>
      <c r="AE36" s="124"/>
      <c r="AF36" s="124"/>
      <c r="AG36" s="124"/>
      <c r="AH36" s="124"/>
      <c r="AI36" s="124"/>
      <c r="AJ36" s="124"/>
      <c r="AK36" s="120"/>
      <c r="AL36" s="120"/>
      <c r="AM36" s="120"/>
      <c r="AN36" s="120"/>
      <c r="AO36" s="120"/>
      <c r="AP36" s="120"/>
      <c r="AQ36" s="120"/>
      <c r="AR36" s="120"/>
      <c r="AS36" s="120"/>
      <c r="AT36" s="120"/>
      <c r="AU36" s="120"/>
      <c r="AV36" s="120"/>
      <c r="AW36" s="121">
        <v>541.29999999999995</v>
      </c>
      <c r="AX36" s="121" t="s">
        <v>202</v>
      </c>
      <c r="AY36" s="121" t="s">
        <v>111</v>
      </c>
      <c r="AZ36" s="121" t="s">
        <v>68</v>
      </c>
      <c r="BA36" s="121" t="s">
        <v>67</v>
      </c>
      <c r="BB36" s="121" t="s">
        <v>68</v>
      </c>
      <c r="BC36" s="120"/>
      <c r="BD36" s="120"/>
      <c r="BE36" s="120"/>
      <c r="BF36" s="120" t="s">
        <v>2</v>
      </c>
      <c r="BG36" s="120" t="s">
        <v>115</v>
      </c>
      <c r="BH36" s="125" t="s">
        <v>116</v>
      </c>
      <c r="BI36" s="121" t="s">
        <v>128</v>
      </c>
    </row>
    <row r="37" spans="1:61" s="6" customFormat="1" ht="13.5" customHeight="1" outlineLevel="5" x14ac:dyDescent="0.35">
      <c r="A37" s="115" t="s">
        <v>73</v>
      </c>
      <c r="B37" s="115" t="s">
        <v>126</v>
      </c>
      <c r="C37" s="116" t="s">
        <v>134</v>
      </c>
      <c r="D37" s="116" t="s">
        <v>161</v>
      </c>
      <c r="E37" s="116" t="s">
        <v>164</v>
      </c>
      <c r="F37" s="116" t="s">
        <v>159</v>
      </c>
      <c r="G37" s="116" t="s">
        <v>166</v>
      </c>
      <c r="H37" s="117" t="s">
        <v>164</v>
      </c>
      <c r="I37" s="117" t="s">
        <v>162</v>
      </c>
      <c r="J37" s="118" t="s">
        <v>158</v>
      </c>
      <c r="K37" s="116" t="s">
        <v>158</v>
      </c>
      <c r="L37" s="119" t="s">
        <v>158</v>
      </c>
      <c r="M37" s="119" t="s">
        <v>158</v>
      </c>
      <c r="N37" s="119" t="s">
        <v>158</v>
      </c>
      <c r="O37" s="119" t="s">
        <v>158</v>
      </c>
      <c r="P37" s="120">
        <f t="shared" si="0"/>
        <v>87</v>
      </c>
      <c r="Q37" s="120" t="s">
        <v>67</v>
      </c>
      <c r="R37" s="120" t="s">
        <v>124</v>
      </c>
      <c r="S37" s="121" t="s">
        <v>156</v>
      </c>
      <c r="T37" s="121" t="s">
        <v>91</v>
      </c>
      <c r="U37" s="122" t="s">
        <v>48</v>
      </c>
      <c r="V37" s="123"/>
      <c r="W37" s="124"/>
      <c r="X37" s="124"/>
      <c r="Y37" s="124"/>
      <c r="Z37" s="124"/>
      <c r="AA37" s="124"/>
      <c r="AB37" s="124" t="s">
        <v>73</v>
      </c>
      <c r="AC37" s="124"/>
      <c r="AD37" s="124"/>
      <c r="AE37" s="124"/>
      <c r="AF37" s="124"/>
      <c r="AG37" s="124"/>
      <c r="AH37" s="124"/>
      <c r="AI37" s="124"/>
      <c r="AJ37" s="124"/>
      <c r="AK37" s="120"/>
      <c r="AL37" s="120"/>
      <c r="AM37" s="120"/>
      <c r="AN37" s="120"/>
      <c r="AO37" s="120"/>
      <c r="AP37" s="120"/>
      <c r="AQ37" s="120"/>
      <c r="AR37" s="120"/>
      <c r="AS37" s="120"/>
      <c r="AT37" s="120"/>
      <c r="AU37" s="120"/>
      <c r="AV37" s="120"/>
      <c r="AW37" s="121">
        <v>541.4</v>
      </c>
      <c r="AX37" s="121" t="s">
        <v>203</v>
      </c>
      <c r="AY37" s="121" t="s">
        <v>111</v>
      </c>
      <c r="AZ37" s="121" t="s">
        <v>68</v>
      </c>
      <c r="BA37" s="121" t="s">
        <v>67</v>
      </c>
      <c r="BB37" s="121" t="s">
        <v>68</v>
      </c>
      <c r="BC37" s="120"/>
      <c r="BD37" s="120"/>
      <c r="BE37" s="120"/>
      <c r="BF37" s="120" t="s">
        <v>2</v>
      </c>
      <c r="BG37" s="120" t="s">
        <v>115</v>
      </c>
      <c r="BH37" s="125" t="s">
        <v>116</v>
      </c>
      <c r="BI37" s="121" t="s">
        <v>128</v>
      </c>
    </row>
    <row r="38" spans="1:61" s="6" customFormat="1" ht="13.5" customHeight="1" outlineLevel="5" x14ac:dyDescent="0.35">
      <c r="A38" s="115" t="s">
        <v>50</v>
      </c>
      <c r="B38" s="115" t="s">
        <v>126</v>
      </c>
      <c r="C38" s="116" t="s">
        <v>134</v>
      </c>
      <c r="D38" s="116" t="s">
        <v>161</v>
      </c>
      <c r="E38" s="116" t="s">
        <v>164</v>
      </c>
      <c r="F38" s="116" t="s">
        <v>159</v>
      </c>
      <c r="G38" s="116" t="s">
        <v>166</v>
      </c>
      <c r="H38" s="117" t="s">
        <v>164</v>
      </c>
      <c r="I38" s="117" t="s">
        <v>163</v>
      </c>
      <c r="J38" s="118" t="s">
        <v>158</v>
      </c>
      <c r="K38" s="116" t="s">
        <v>158</v>
      </c>
      <c r="L38" s="119" t="s">
        <v>158</v>
      </c>
      <c r="M38" s="119" t="s">
        <v>158</v>
      </c>
      <c r="N38" s="119" t="s">
        <v>158</v>
      </c>
      <c r="O38" s="119" t="s">
        <v>158</v>
      </c>
      <c r="P38" s="120">
        <f t="shared" si="0"/>
        <v>90</v>
      </c>
      <c r="Q38" s="120" t="s">
        <v>67</v>
      </c>
      <c r="R38" s="120" t="s">
        <v>124</v>
      </c>
      <c r="S38" s="121" t="s">
        <v>156</v>
      </c>
      <c r="T38" s="121" t="s">
        <v>91</v>
      </c>
      <c r="U38" s="122" t="s">
        <v>49</v>
      </c>
      <c r="V38" s="123"/>
      <c r="W38" s="124"/>
      <c r="X38" s="124"/>
      <c r="Y38" s="124"/>
      <c r="Z38" s="124"/>
      <c r="AA38" s="124"/>
      <c r="AB38" s="124" t="s">
        <v>50</v>
      </c>
      <c r="AC38" s="124"/>
      <c r="AD38" s="124"/>
      <c r="AE38" s="124"/>
      <c r="AF38" s="124"/>
      <c r="AG38" s="124"/>
      <c r="AH38" s="124"/>
      <c r="AI38" s="124"/>
      <c r="AJ38" s="124"/>
      <c r="AK38" s="120"/>
      <c r="AL38" s="120"/>
      <c r="AM38" s="120"/>
      <c r="AN38" s="120"/>
      <c r="AO38" s="120"/>
      <c r="AP38" s="120"/>
      <c r="AQ38" s="120"/>
      <c r="AR38" s="120"/>
      <c r="AS38" s="120"/>
      <c r="AT38" s="120"/>
      <c r="AU38" s="120"/>
      <c r="AV38" s="120"/>
      <c r="AW38" s="121">
        <v>541.5</v>
      </c>
      <c r="AX38" s="121" t="s">
        <v>204</v>
      </c>
      <c r="AY38" s="121" t="s">
        <v>111</v>
      </c>
      <c r="AZ38" s="121" t="s">
        <v>68</v>
      </c>
      <c r="BA38" s="121" t="s">
        <v>67</v>
      </c>
      <c r="BB38" s="121" t="s">
        <v>68</v>
      </c>
      <c r="BC38" s="120"/>
      <c r="BD38" s="120"/>
      <c r="BE38" s="120"/>
      <c r="BF38" s="120" t="s">
        <v>2</v>
      </c>
      <c r="BG38" s="120" t="s">
        <v>115</v>
      </c>
      <c r="BH38" s="125" t="s">
        <v>116</v>
      </c>
      <c r="BI38" s="121" t="s">
        <v>128</v>
      </c>
    </row>
    <row r="39" spans="1:61" s="6" customFormat="1" ht="13.5" customHeight="1" outlineLevel="5" x14ac:dyDescent="0.35">
      <c r="A39" s="115" t="s">
        <v>141</v>
      </c>
      <c r="B39" s="115" t="s">
        <v>126</v>
      </c>
      <c r="C39" s="116" t="s">
        <v>134</v>
      </c>
      <c r="D39" s="116" t="s">
        <v>161</v>
      </c>
      <c r="E39" s="116" t="s">
        <v>164</v>
      </c>
      <c r="F39" s="116" t="s">
        <v>159</v>
      </c>
      <c r="G39" s="116" t="s">
        <v>166</v>
      </c>
      <c r="H39" s="117" t="s">
        <v>164</v>
      </c>
      <c r="I39" s="117" t="s">
        <v>164</v>
      </c>
      <c r="J39" s="118" t="s">
        <v>158</v>
      </c>
      <c r="K39" s="116" t="s">
        <v>158</v>
      </c>
      <c r="L39" s="119" t="s">
        <v>158</v>
      </c>
      <c r="M39" s="119" t="s">
        <v>158</v>
      </c>
      <c r="N39" s="119" t="s">
        <v>158</v>
      </c>
      <c r="O39" s="119" t="s">
        <v>158</v>
      </c>
      <c r="P39" s="120">
        <f>LEN(A39)</f>
        <v>82</v>
      </c>
      <c r="Q39" s="120" t="s">
        <v>67</v>
      </c>
      <c r="R39" s="120" t="s">
        <v>124</v>
      </c>
      <c r="S39" s="121" t="s">
        <v>156</v>
      </c>
      <c r="T39" s="121" t="s">
        <v>91</v>
      </c>
      <c r="U39" s="122" t="s">
        <v>142</v>
      </c>
      <c r="V39" s="123"/>
      <c r="W39" s="124"/>
      <c r="X39" s="124"/>
      <c r="Y39" s="124"/>
      <c r="Z39" s="124"/>
      <c r="AA39" s="124"/>
      <c r="AB39" s="124" t="s">
        <v>141</v>
      </c>
      <c r="AC39" s="124"/>
      <c r="AD39" s="124"/>
      <c r="AE39" s="124"/>
      <c r="AF39" s="124"/>
      <c r="AG39" s="124"/>
      <c r="AH39" s="124"/>
      <c r="AI39" s="124"/>
      <c r="AJ39" s="124"/>
      <c r="AK39" s="120"/>
      <c r="AL39" s="120"/>
      <c r="AM39" s="120"/>
      <c r="AN39" s="120"/>
      <c r="AO39" s="120"/>
      <c r="AP39" s="120"/>
      <c r="AQ39" s="120"/>
      <c r="AR39" s="120"/>
      <c r="AS39" s="120"/>
      <c r="AT39" s="120"/>
      <c r="AU39" s="120"/>
      <c r="AV39" s="120"/>
      <c r="AW39" s="121"/>
      <c r="AX39" s="121" t="s">
        <v>205</v>
      </c>
      <c r="AY39" s="121"/>
      <c r="AZ39" s="121"/>
      <c r="BA39" s="121"/>
      <c r="BB39" s="121"/>
      <c r="BC39" s="120"/>
      <c r="BD39" s="120"/>
      <c r="BE39" s="120"/>
      <c r="BF39" s="120"/>
      <c r="BG39" s="120"/>
      <c r="BH39" s="125"/>
      <c r="BI39" s="121"/>
    </row>
    <row r="40" spans="1:61" s="6" customFormat="1" ht="13.5" customHeight="1" outlineLevel="4" x14ac:dyDescent="0.35">
      <c r="A40" s="28" t="s">
        <v>52</v>
      </c>
      <c r="B40" s="28" t="s">
        <v>126</v>
      </c>
      <c r="C40" s="20" t="s">
        <v>134</v>
      </c>
      <c r="D40" s="20" t="s">
        <v>161</v>
      </c>
      <c r="E40" s="20" t="s">
        <v>164</v>
      </c>
      <c r="F40" s="20" t="s">
        <v>159</v>
      </c>
      <c r="G40" s="20" t="s">
        <v>166</v>
      </c>
      <c r="H40" s="29" t="s">
        <v>165</v>
      </c>
      <c r="I40" s="29" t="s">
        <v>158</v>
      </c>
      <c r="J40" s="21" t="s">
        <v>158</v>
      </c>
      <c r="K40" s="20" t="s">
        <v>158</v>
      </c>
      <c r="L40" s="22" t="s">
        <v>158</v>
      </c>
      <c r="M40" s="22" t="s">
        <v>158</v>
      </c>
      <c r="N40" s="22" t="s">
        <v>158</v>
      </c>
      <c r="O40" s="22" t="s">
        <v>158</v>
      </c>
      <c r="P40" s="23">
        <f t="shared" si="0"/>
        <v>95</v>
      </c>
      <c r="Q40" s="23" t="s">
        <v>67</v>
      </c>
      <c r="R40" s="23" t="s">
        <v>124</v>
      </c>
      <c r="S40" s="19" t="s">
        <v>156</v>
      </c>
      <c r="T40" s="19" t="s">
        <v>91</v>
      </c>
      <c r="U40" s="24" t="s">
        <v>51</v>
      </c>
      <c r="V40" s="25"/>
      <c r="W40" s="26"/>
      <c r="X40" s="26"/>
      <c r="Y40" s="26"/>
      <c r="Z40" s="26"/>
      <c r="AA40" s="26" t="s">
        <v>52</v>
      </c>
      <c r="AB40" s="26"/>
      <c r="AC40" s="26"/>
      <c r="AD40" s="26"/>
      <c r="AE40" s="26"/>
      <c r="AF40" s="26"/>
      <c r="AG40" s="26"/>
      <c r="AH40" s="26"/>
      <c r="AI40" s="26"/>
      <c r="AJ40" s="26"/>
      <c r="AK40" s="23"/>
      <c r="AL40" s="23"/>
      <c r="AM40" s="23"/>
      <c r="AN40" s="23"/>
      <c r="AO40" s="23"/>
      <c r="AP40" s="23"/>
      <c r="AQ40" s="23"/>
      <c r="AR40" s="23"/>
      <c r="AS40" s="23"/>
      <c r="AT40" s="23"/>
      <c r="AU40" s="23"/>
      <c r="AV40" s="23"/>
      <c r="AW40" s="19">
        <v>545</v>
      </c>
      <c r="AX40" s="19" t="s">
        <v>206</v>
      </c>
      <c r="AY40" s="19" t="s">
        <v>111</v>
      </c>
      <c r="AZ40" s="19" t="s">
        <v>68</v>
      </c>
      <c r="BA40" s="19" t="s">
        <v>67</v>
      </c>
      <c r="BB40" s="19" t="s">
        <v>68</v>
      </c>
      <c r="BC40" s="23"/>
      <c r="BD40" s="23"/>
      <c r="BE40" s="23"/>
      <c r="BF40" s="23" t="s">
        <v>2</v>
      </c>
      <c r="BG40" s="23" t="s">
        <v>115</v>
      </c>
      <c r="BH40" s="27" t="s">
        <v>116</v>
      </c>
      <c r="BI40" s="19" t="s">
        <v>128</v>
      </c>
    </row>
    <row r="41" spans="1:61" s="6" customFormat="1" ht="13.5" customHeight="1" outlineLevel="4" x14ac:dyDescent="0.35">
      <c r="A41" s="28" t="s">
        <v>54</v>
      </c>
      <c r="B41" s="28" t="s">
        <v>126</v>
      </c>
      <c r="C41" s="20" t="s">
        <v>134</v>
      </c>
      <c r="D41" s="20" t="s">
        <v>161</v>
      </c>
      <c r="E41" s="20" t="s">
        <v>164</v>
      </c>
      <c r="F41" s="20" t="s">
        <v>159</v>
      </c>
      <c r="G41" s="20" t="s">
        <v>166</v>
      </c>
      <c r="H41" s="29" t="s">
        <v>166</v>
      </c>
      <c r="I41" s="29" t="s">
        <v>158</v>
      </c>
      <c r="J41" s="21" t="s">
        <v>158</v>
      </c>
      <c r="K41" s="20" t="s">
        <v>158</v>
      </c>
      <c r="L41" s="22" t="s">
        <v>158</v>
      </c>
      <c r="M41" s="22" t="s">
        <v>158</v>
      </c>
      <c r="N41" s="22" t="s">
        <v>158</v>
      </c>
      <c r="O41" s="22" t="s">
        <v>158</v>
      </c>
      <c r="P41" s="23">
        <f t="shared" si="0"/>
        <v>99</v>
      </c>
      <c r="Q41" s="23" t="s">
        <v>67</v>
      </c>
      <c r="R41" s="23" t="s">
        <v>124</v>
      </c>
      <c r="S41" s="19" t="s">
        <v>156</v>
      </c>
      <c r="T41" s="19" t="s">
        <v>91</v>
      </c>
      <c r="U41" s="24" t="s">
        <v>53</v>
      </c>
      <c r="V41" s="25"/>
      <c r="W41" s="26"/>
      <c r="X41" s="26"/>
      <c r="Y41" s="26"/>
      <c r="Z41" s="26"/>
      <c r="AA41" s="26" t="s">
        <v>54</v>
      </c>
      <c r="AB41" s="26"/>
      <c r="AC41" s="26"/>
      <c r="AD41" s="26"/>
      <c r="AE41" s="26"/>
      <c r="AF41" s="26"/>
      <c r="AG41" s="26"/>
      <c r="AH41" s="26"/>
      <c r="AI41" s="26"/>
      <c r="AJ41" s="26"/>
      <c r="AK41" s="23"/>
      <c r="AL41" s="23"/>
      <c r="AM41" s="23"/>
      <c r="AN41" s="23"/>
      <c r="AO41" s="23"/>
      <c r="AP41" s="23"/>
      <c r="AQ41" s="23"/>
      <c r="AR41" s="23"/>
      <c r="AS41" s="23"/>
      <c r="AT41" s="23"/>
      <c r="AU41" s="23"/>
      <c r="AV41" s="23"/>
      <c r="AW41" s="19">
        <v>546</v>
      </c>
      <c r="AX41" s="30" t="s">
        <v>207</v>
      </c>
      <c r="AY41" s="19" t="s">
        <v>111</v>
      </c>
      <c r="AZ41" s="19" t="s">
        <v>68</v>
      </c>
      <c r="BA41" s="19" t="s">
        <v>67</v>
      </c>
      <c r="BB41" s="19" t="s">
        <v>68</v>
      </c>
      <c r="BC41" s="23"/>
      <c r="BD41" s="23"/>
      <c r="BE41" s="23"/>
      <c r="BF41" s="23" t="s">
        <v>2</v>
      </c>
      <c r="BG41" s="23" t="s">
        <v>115</v>
      </c>
      <c r="BH41" s="27" t="s">
        <v>116</v>
      </c>
      <c r="BI41" s="19" t="s">
        <v>128</v>
      </c>
    </row>
    <row r="42" spans="1:61" s="6" customFormat="1" ht="13.5" customHeight="1" outlineLevel="4" x14ac:dyDescent="0.35">
      <c r="A42" s="28" t="s">
        <v>56</v>
      </c>
      <c r="B42" s="28" t="s">
        <v>126</v>
      </c>
      <c r="C42" s="20" t="s">
        <v>134</v>
      </c>
      <c r="D42" s="20" t="s">
        <v>161</v>
      </c>
      <c r="E42" s="20" t="s">
        <v>164</v>
      </c>
      <c r="F42" s="20" t="s">
        <v>159</v>
      </c>
      <c r="G42" s="20" t="s">
        <v>166</v>
      </c>
      <c r="H42" s="29" t="s">
        <v>167</v>
      </c>
      <c r="I42" s="29" t="s">
        <v>158</v>
      </c>
      <c r="J42" s="21" t="s">
        <v>158</v>
      </c>
      <c r="K42" s="20" t="s">
        <v>158</v>
      </c>
      <c r="L42" s="22" t="s">
        <v>158</v>
      </c>
      <c r="M42" s="22" t="s">
        <v>158</v>
      </c>
      <c r="N42" s="22" t="s">
        <v>158</v>
      </c>
      <c r="O42" s="22" t="s">
        <v>158</v>
      </c>
      <c r="P42" s="23">
        <f t="shared" si="0"/>
        <v>123</v>
      </c>
      <c r="Q42" s="23" t="s">
        <v>67</v>
      </c>
      <c r="R42" s="23" t="s">
        <v>124</v>
      </c>
      <c r="S42" s="19" t="s">
        <v>156</v>
      </c>
      <c r="T42" s="19" t="s">
        <v>91</v>
      </c>
      <c r="U42" s="24" t="s">
        <v>55</v>
      </c>
      <c r="V42" s="25"/>
      <c r="W42" s="26"/>
      <c r="X42" s="26"/>
      <c r="Y42" s="26"/>
      <c r="Z42" s="26"/>
      <c r="AA42" s="26" t="s">
        <v>56</v>
      </c>
      <c r="AB42" s="26"/>
      <c r="AC42" s="26"/>
      <c r="AD42" s="26"/>
      <c r="AE42" s="26"/>
      <c r="AF42" s="26"/>
      <c r="AG42" s="26"/>
      <c r="AH42" s="26"/>
      <c r="AI42" s="26"/>
      <c r="AJ42" s="26"/>
      <c r="AK42" s="23"/>
      <c r="AL42" s="23"/>
      <c r="AM42" s="23"/>
      <c r="AN42" s="23"/>
      <c r="AO42" s="23"/>
      <c r="AP42" s="23"/>
      <c r="AQ42" s="23"/>
      <c r="AR42" s="23"/>
      <c r="AS42" s="23"/>
      <c r="AT42" s="23"/>
      <c r="AU42" s="23"/>
      <c r="AV42" s="23"/>
      <c r="AW42" s="19">
        <v>558</v>
      </c>
      <c r="AX42" s="19" t="s">
        <v>208</v>
      </c>
      <c r="AY42" s="19" t="s">
        <v>111</v>
      </c>
      <c r="AZ42" s="19" t="s">
        <v>68</v>
      </c>
      <c r="BA42" s="19" t="s">
        <v>67</v>
      </c>
      <c r="BB42" s="19" t="s">
        <v>68</v>
      </c>
      <c r="BC42" s="23"/>
      <c r="BD42" s="23"/>
      <c r="BE42" s="23"/>
      <c r="BF42" s="23" t="s">
        <v>2</v>
      </c>
      <c r="BG42" s="23" t="s">
        <v>115</v>
      </c>
      <c r="BH42" s="27" t="s">
        <v>116</v>
      </c>
      <c r="BI42" s="19" t="s">
        <v>128</v>
      </c>
    </row>
    <row r="43" spans="1:61" s="6" customFormat="1" ht="13.5" customHeight="1" outlineLevel="4" x14ac:dyDescent="0.35">
      <c r="A43" s="28" t="s">
        <v>58</v>
      </c>
      <c r="B43" s="28" t="s">
        <v>126</v>
      </c>
      <c r="C43" s="20" t="s">
        <v>134</v>
      </c>
      <c r="D43" s="20" t="s">
        <v>161</v>
      </c>
      <c r="E43" s="20" t="s">
        <v>164</v>
      </c>
      <c r="F43" s="20" t="s">
        <v>159</v>
      </c>
      <c r="G43" s="20" t="s">
        <v>166</v>
      </c>
      <c r="H43" s="29" t="s">
        <v>168</v>
      </c>
      <c r="I43" s="29" t="s">
        <v>158</v>
      </c>
      <c r="J43" s="21" t="s">
        <v>158</v>
      </c>
      <c r="K43" s="20" t="s">
        <v>158</v>
      </c>
      <c r="L43" s="22" t="s">
        <v>158</v>
      </c>
      <c r="M43" s="22" t="s">
        <v>158</v>
      </c>
      <c r="N43" s="22" t="s">
        <v>158</v>
      </c>
      <c r="O43" s="22" t="s">
        <v>158</v>
      </c>
      <c r="P43" s="23">
        <f t="shared" si="0"/>
        <v>77</v>
      </c>
      <c r="Q43" s="23" t="s">
        <v>67</v>
      </c>
      <c r="R43" s="23" t="s">
        <v>124</v>
      </c>
      <c r="S43" s="19" t="s">
        <v>156</v>
      </c>
      <c r="T43" s="19" t="s">
        <v>91</v>
      </c>
      <c r="U43" s="24" t="s">
        <v>57</v>
      </c>
      <c r="V43" s="25"/>
      <c r="W43" s="26"/>
      <c r="X43" s="26"/>
      <c r="Y43" s="26"/>
      <c r="Z43" s="26"/>
      <c r="AA43" s="26" t="s">
        <v>58</v>
      </c>
      <c r="AB43" s="26"/>
      <c r="AC43" s="26"/>
      <c r="AD43" s="26"/>
      <c r="AE43" s="26"/>
      <c r="AF43" s="26"/>
      <c r="AG43" s="26"/>
      <c r="AH43" s="26"/>
      <c r="AI43" s="26"/>
      <c r="AJ43" s="26"/>
      <c r="AK43" s="23"/>
      <c r="AL43" s="23"/>
      <c r="AM43" s="23"/>
      <c r="AN43" s="23"/>
      <c r="AO43" s="23"/>
      <c r="AP43" s="23"/>
      <c r="AQ43" s="23"/>
      <c r="AR43" s="23"/>
      <c r="AS43" s="23"/>
      <c r="AT43" s="23"/>
      <c r="AU43" s="23"/>
      <c r="AV43" s="23"/>
      <c r="AW43" s="19">
        <v>556</v>
      </c>
      <c r="AX43" s="19" t="s">
        <v>209</v>
      </c>
      <c r="AY43" s="19" t="s">
        <v>111</v>
      </c>
      <c r="AZ43" s="19" t="s">
        <v>68</v>
      </c>
      <c r="BA43" s="19" t="s">
        <v>67</v>
      </c>
      <c r="BB43" s="19" t="s">
        <v>68</v>
      </c>
      <c r="BC43" s="23"/>
      <c r="BD43" s="23"/>
      <c r="BE43" s="23"/>
      <c r="BF43" s="23" t="s">
        <v>2</v>
      </c>
      <c r="BG43" s="23" t="s">
        <v>115</v>
      </c>
      <c r="BH43" s="27" t="s">
        <v>116</v>
      </c>
      <c r="BI43" s="19" t="s">
        <v>128</v>
      </c>
    </row>
    <row r="44" spans="1:61" s="6" customFormat="1" ht="13.5" customHeight="1" outlineLevel="4" x14ac:dyDescent="0.35">
      <c r="A44" s="28" t="s">
        <v>60</v>
      </c>
      <c r="B44" s="28" t="s">
        <v>126</v>
      </c>
      <c r="C44" s="20" t="s">
        <v>134</v>
      </c>
      <c r="D44" s="20" t="s">
        <v>161</v>
      </c>
      <c r="E44" s="20" t="s">
        <v>164</v>
      </c>
      <c r="F44" s="20" t="s">
        <v>159</v>
      </c>
      <c r="G44" s="20" t="s">
        <v>166</v>
      </c>
      <c r="H44" s="29" t="s">
        <v>169</v>
      </c>
      <c r="I44" s="29" t="s">
        <v>158</v>
      </c>
      <c r="J44" s="21" t="s">
        <v>158</v>
      </c>
      <c r="K44" s="20" t="s">
        <v>158</v>
      </c>
      <c r="L44" s="22" t="s">
        <v>158</v>
      </c>
      <c r="M44" s="22" t="s">
        <v>158</v>
      </c>
      <c r="N44" s="22" t="s">
        <v>158</v>
      </c>
      <c r="O44" s="22" t="s">
        <v>158</v>
      </c>
      <c r="P44" s="23">
        <f t="shared" si="0"/>
        <v>85</v>
      </c>
      <c r="Q44" s="23" t="s">
        <v>67</v>
      </c>
      <c r="R44" s="23" t="s">
        <v>124</v>
      </c>
      <c r="S44" s="19" t="s">
        <v>156</v>
      </c>
      <c r="T44" s="19" t="s">
        <v>91</v>
      </c>
      <c r="U44" s="24" t="s">
        <v>59</v>
      </c>
      <c r="V44" s="25"/>
      <c r="W44" s="26"/>
      <c r="X44" s="26"/>
      <c r="Y44" s="26"/>
      <c r="Z44" s="26"/>
      <c r="AA44" s="26" t="s">
        <v>60</v>
      </c>
      <c r="AB44" s="26"/>
      <c r="AC44" s="26"/>
      <c r="AD44" s="26"/>
      <c r="AE44" s="26"/>
      <c r="AF44" s="26"/>
      <c r="AG44" s="26"/>
      <c r="AH44" s="26"/>
      <c r="AI44" s="26"/>
      <c r="AJ44" s="26"/>
      <c r="AK44" s="23"/>
      <c r="AL44" s="23"/>
      <c r="AM44" s="23"/>
      <c r="AN44" s="23"/>
      <c r="AO44" s="23"/>
      <c r="AP44" s="23"/>
      <c r="AQ44" s="23"/>
      <c r="AR44" s="23"/>
      <c r="AS44" s="23"/>
      <c r="AT44" s="23"/>
      <c r="AU44" s="23"/>
      <c r="AV44" s="23"/>
      <c r="AW44" s="19">
        <v>547</v>
      </c>
      <c r="AX44" s="19" t="s">
        <v>210</v>
      </c>
      <c r="AY44" s="19" t="s">
        <v>111</v>
      </c>
      <c r="AZ44" s="19" t="s">
        <v>68</v>
      </c>
      <c r="BA44" s="19" t="s">
        <v>67</v>
      </c>
      <c r="BB44" s="19" t="s">
        <v>68</v>
      </c>
      <c r="BC44" s="23"/>
      <c r="BD44" s="23"/>
      <c r="BE44" s="23"/>
      <c r="BF44" s="23" t="s">
        <v>2</v>
      </c>
      <c r="BG44" s="23" t="s">
        <v>115</v>
      </c>
      <c r="BH44" s="27" t="s">
        <v>116</v>
      </c>
      <c r="BI44" s="19" t="s">
        <v>128</v>
      </c>
    </row>
    <row r="45" spans="1:61" s="6" customFormat="1" ht="13.5" customHeight="1" outlineLevel="4" x14ac:dyDescent="0.35">
      <c r="A45" s="28" t="s">
        <v>62</v>
      </c>
      <c r="B45" s="28" t="s">
        <v>126</v>
      </c>
      <c r="C45" s="20" t="s">
        <v>134</v>
      </c>
      <c r="D45" s="20" t="s">
        <v>161</v>
      </c>
      <c r="E45" s="20" t="s">
        <v>164</v>
      </c>
      <c r="F45" s="20" t="s">
        <v>159</v>
      </c>
      <c r="G45" s="20" t="s">
        <v>166</v>
      </c>
      <c r="H45" s="29" t="s">
        <v>170</v>
      </c>
      <c r="I45" s="29" t="s">
        <v>158</v>
      </c>
      <c r="J45" s="21" t="s">
        <v>158</v>
      </c>
      <c r="K45" s="20" t="s">
        <v>158</v>
      </c>
      <c r="L45" s="22" t="s">
        <v>158</v>
      </c>
      <c r="M45" s="22" t="s">
        <v>158</v>
      </c>
      <c r="N45" s="22" t="s">
        <v>158</v>
      </c>
      <c r="O45" s="22" t="s">
        <v>158</v>
      </c>
      <c r="P45" s="23">
        <f t="shared" si="0"/>
        <v>104</v>
      </c>
      <c r="Q45" s="23" t="s">
        <v>67</v>
      </c>
      <c r="R45" s="23" t="s">
        <v>124</v>
      </c>
      <c r="S45" s="19" t="s">
        <v>156</v>
      </c>
      <c r="T45" s="19" t="s">
        <v>91</v>
      </c>
      <c r="U45" s="24" t="s">
        <v>61</v>
      </c>
      <c r="V45" s="25"/>
      <c r="W45" s="26"/>
      <c r="X45" s="26"/>
      <c r="Y45" s="26"/>
      <c r="Z45" s="26"/>
      <c r="AA45" s="26" t="s">
        <v>62</v>
      </c>
      <c r="AB45" s="26"/>
      <c r="AC45" s="26"/>
      <c r="AD45" s="26"/>
      <c r="AE45" s="26"/>
      <c r="AF45" s="26"/>
      <c r="AG45" s="26"/>
      <c r="AH45" s="26"/>
      <c r="AI45" s="26"/>
      <c r="AJ45" s="26"/>
      <c r="AK45" s="23"/>
      <c r="AL45" s="23"/>
      <c r="AM45" s="23"/>
      <c r="AN45" s="23"/>
      <c r="AO45" s="23"/>
      <c r="AP45" s="23"/>
      <c r="AQ45" s="23"/>
      <c r="AR45" s="23"/>
      <c r="AS45" s="23"/>
      <c r="AT45" s="23"/>
      <c r="AU45" s="23"/>
      <c r="AV45" s="23"/>
      <c r="AW45" s="19">
        <v>549</v>
      </c>
      <c r="AX45" s="19" t="s">
        <v>211</v>
      </c>
      <c r="AY45" s="19" t="s">
        <v>111</v>
      </c>
      <c r="AZ45" s="19" t="s">
        <v>68</v>
      </c>
      <c r="BA45" s="19" t="s">
        <v>67</v>
      </c>
      <c r="BB45" s="19" t="s">
        <v>68</v>
      </c>
      <c r="BC45" s="23"/>
      <c r="BD45" s="23"/>
      <c r="BE45" s="23"/>
      <c r="BF45" s="23" t="s">
        <v>2</v>
      </c>
      <c r="BG45" s="23" t="s">
        <v>115</v>
      </c>
      <c r="BH45" s="27" t="s">
        <v>116</v>
      </c>
      <c r="BI45" s="19" t="s">
        <v>128</v>
      </c>
    </row>
    <row r="46" spans="1:61" s="6" customFormat="1" ht="13.5" customHeight="1" outlineLevel="4" x14ac:dyDescent="0.35">
      <c r="A46" s="28" t="s">
        <v>64</v>
      </c>
      <c r="B46" s="28" t="s">
        <v>126</v>
      </c>
      <c r="C46" s="20" t="s">
        <v>134</v>
      </c>
      <c r="D46" s="20" t="s">
        <v>161</v>
      </c>
      <c r="E46" s="20" t="s">
        <v>164</v>
      </c>
      <c r="F46" s="20" t="s">
        <v>159</v>
      </c>
      <c r="G46" s="20" t="s">
        <v>166</v>
      </c>
      <c r="H46" s="29" t="s">
        <v>171</v>
      </c>
      <c r="I46" s="29" t="s">
        <v>158</v>
      </c>
      <c r="J46" s="21" t="s">
        <v>158</v>
      </c>
      <c r="K46" s="20" t="s">
        <v>158</v>
      </c>
      <c r="L46" s="22" t="s">
        <v>158</v>
      </c>
      <c r="M46" s="22" t="s">
        <v>158</v>
      </c>
      <c r="N46" s="22" t="s">
        <v>158</v>
      </c>
      <c r="O46" s="22" t="s">
        <v>158</v>
      </c>
      <c r="P46" s="23">
        <f t="shared" si="0"/>
        <v>74</v>
      </c>
      <c r="Q46" s="23" t="s">
        <v>67</v>
      </c>
      <c r="R46" s="23" t="s">
        <v>124</v>
      </c>
      <c r="S46" s="19" t="s">
        <v>156</v>
      </c>
      <c r="T46" s="19" t="s">
        <v>91</v>
      </c>
      <c r="U46" s="24" t="s">
        <v>63</v>
      </c>
      <c r="V46" s="25"/>
      <c r="W46" s="26"/>
      <c r="X46" s="26"/>
      <c r="Y46" s="26"/>
      <c r="Z46" s="26"/>
      <c r="AA46" s="26" t="s">
        <v>64</v>
      </c>
      <c r="AB46" s="26"/>
      <c r="AC46" s="26"/>
      <c r="AD46" s="26"/>
      <c r="AE46" s="26"/>
      <c r="AF46" s="26"/>
      <c r="AG46" s="26"/>
      <c r="AH46" s="26"/>
      <c r="AI46" s="26"/>
      <c r="AJ46" s="26"/>
      <c r="AK46" s="23"/>
      <c r="AL46" s="23"/>
      <c r="AM46" s="23"/>
      <c r="AN46" s="23"/>
      <c r="AO46" s="23"/>
      <c r="AP46" s="23"/>
      <c r="AQ46" s="23"/>
      <c r="AR46" s="23"/>
      <c r="AS46" s="23"/>
      <c r="AT46" s="23"/>
      <c r="AU46" s="23"/>
      <c r="AV46" s="23"/>
      <c r="AW46" s="19">
        <v>551</v>
      </c>
      <c r="AX46" s="19" t="s">
        <v>212</v>
      </c>
      <c r="AY46" s="19" t="s">
        <v>111</v>
      </c>
      <c r="AZ46" s="19" t="s">
        <v>68</v>
      </c>
      <c r="BA46" s="19" t="s">
        <v>67</v>
      </c>
      <c r="BB46" s="19" t="s">
        <v>68</v>
      </c>
      <c r="BC46" s="23"/>
      <c r="BD46" s="23"/>
      <c r="BE46" s="23"/>
      <c r="BF46" s="23" t="s">
        <v>2</v>
      </c>
      <c r="BG46" s="23" t="s">
        <v>115</v>
      </c>
      <c r="BH46" s="27" t="s">
        <v>116</v>
      </c>
      <c r="BI46" s="19" t="s">
        <v>128</v>
      </c>
    </row>
    <row r="47" spans="1:61" s="6" customFormat="1" ht="13.5" customHeight="1" outlineLevel="4" x14ac:dyDescent="0.35">
      <c r="A47" s="28" t="s">
        <v>66</v>
      </c>
      <c r="B47" s="28" t="s">
        <v>126</v>
      </c>
      <c r="C47" s="20" t="s">
        <v>134</v>
      </c>
      <c r="D47" s="20" t="s">
        <v>161</v>
      </c>
      <c r="E47" s="20" t="s">
        <v>164</v>
      </c>
      <c r="F47" s="20" t="s">
        <v>159</v>
      </c>
      <c r="G47" s="20" t="s">
        <v>166</v>
      </c>
      <c r="H47" s="29" t="s">
        <v>172</v>
      </c>
      <c r="I47" s="29" t="s">
        <v>158</v>
      </c>
      <c r="J47" s="21" t="s">
        <v>158</v>
      </c>
      <c r="K47" s="20" t="s">
        <v>158</v>
      </c>
      <c r="L47" s="22" t="s">
        <v>158</v>
      </c>
      <c r="M47" s="22" t="s">
        <v>158</v>
      </c>
      <c r="N47" s="22" t="s">
        <v>158</v>
      </c>
      <c r="O47" s="22" t="s">
        <v>158</v>
      </c>
      <c r="P47" s="23">
        <f t="shared" si="0"/>
        <v>70</v>
      </c>
      <c r="Q47" s="23" t="s">
        <v>67</v>
      </c>
      <c r="R47" s="23" t="s">
        <v>124</v>
      </c>
      <c r="S47" s="19" t="s">
        <v>156</v>
      </c>
      <c r="T47" s="19" t="s">
        <v>91</v>
      </c>
      <c r="U47" s="24" t="s">
        <v>65</v>
      </c>
      <c r="V47" s="25"/>
      <c r="W47" s="26"/>
      <c r="X47" s="26"/>
      <c r="Y47" s="26"/>
      <c r="Z47" s="26"/>
      <c r="AA47" s="26" t="s">
        <v>66</v>
      </c>
      <c r="AB47" s="26"/>
      <c r="AC47" s="26"/>
      <c r="AD47" s="26"/>
      <c r="AE47" s="26"/>
      <c r="AF47" s="26"/>
      <c r="AG47" s="26"/>
      <c r="AH47" s="26"/>
      <c r="AI47" s="26"/>
      <c r="AJ47" s="26"/>
      <c r="AK47" s="23"/>
      <c r="AL47" s="23"/>
      <c r="AM47" s="23"/>
      <c r="AN47" s="23"/>
      <c r="AO47" s="23"/>
      <c r="AP47" s="23"/>
      <c r="AQ47" s="23"/>
      <c r="AR47" s="23"/>
      <c r="AS47" s="23"/>
      <c r="AT47" s="23"/>
      <c r="AU47" s="23"/>
      <c r="AV47" s="23"/>
      <c r="AW47" s="19">
        <v>550</v>
      </c>
      <c r="AX47" s="19" t="s">
        <v>213</v>
      </c>
      <c r="AY47" s="19" t="s">
        <v>111</v>
      </c>
      <c r="AZ47" s="19" t="s">
        <v>68</v>
      </c>
      <c r="BA47" s="19" t="s">
        <v>67</v>
      </c>
      <c r="BB47" s="19" t="s">
        <v>68</v>
      </c>
      <c r="BC47" s="23"/>
      <c r="BD47" s="23"/>
      <c r="BE47" s="23"/>
      <c r="BF47" s="23" t="s">
        <v>2</v>
      </c>
      <c r="BG47" s="23" t="s">
        <v>115</v>
      </c>
      <c r="BH47" s="27" t="s">
        <v>116</v>
      </c>
      <c r="BI47" s="19" t="s">
        <v>128</v>
      </c>
    </row>
    <row r="48" spans="1:61" s="50" customFormat="1" ht="13.5" customHeight="1" outlineLevel="3" x14ac:dyDescent="0.25">
      <c r="A48" s="137"/>
      <c r="B48" s="138" t="s">
        <v>68</v>
      </c>
      <c r="C48" s="139" t="s">
        <v>134</v>
      </c>
      <c r="D48" s="139" t="s">
        <v>161</v>
      </c>
      <c r="E48" s="139" t="s">
        <v>164</v>
      </c>
      <c r="F48" s="139" t="s">
        <v>159</v>
      </c>
      <c r="G48" s="139" t="s">
        <v>167</v>
      </c>
      <c r="H48" s="139" t="s">
        <v>158</v>
      </c>
      <c r="I48" s="140" t="s">
        <v>158</v>
      </c>
      <c r="J48" s="141" t="s">
        <v>158</v>
      </c>
      <c r="K48" s="139" t="s">
        <v>158</v>
      </c>
      <c r="L48" s="142" t="s">
        <v>158</v>
      </c>
      <c r="M48" s="142" t="s">
        <v>158</v>
      </c>
      <c r="N48" s="142" t="s">
        <v>158</v>
      </c>
      <c r="O48" s="142" t="s">
        <v>158</v>
      </c>
      <c r="P48" s="143">
        <f t="shared" si="0"/>
        <v>0</v>
      </c>
      <c r="Q48" s="143" t="s">
        <v>124</v>
      </c>
      <c r="R48" s="143" t="s">
        <v>124</v>
      </c>
      <c r="S48" s="143" t="s">
        <v>68</v>
      </c>
      <c r="T48" s="138" t="s">
        <v>91</v>
      </c>
      <c r="U48" s="144" t="s">
        <v>99</v>
      </c>
      <c r="V48" s="145"/>
      <c r="W48" s="146"/>
      <c r="X48" s="146"/>
      <c r="Y48" s="143"/>
      <c r="Z48" s="147" t="s">
        <v>102</v>
      </c>
      <c r="AA48" s="147"/>
      <c r="AB48" s="147"/>
      <c r="AC48" s="147"/>
      <c r="AD48" s="147"/>
      <c r="AE48" s="147"/>
      <c r="AF48" s="147"/>
      <c r="AG48" s="147"/>
      <c r="AH48" s="146"/>
      <c r="AI48" s="146"/>
      <c r="AJ48" s="146"/>
      <c r="AK48" s="143"/>
      <c r="AL48" s="143"/>
      <c r="AM48" s="143"/>
      <c r="AN48" s="143"/>
      <c r="AO48" s="143"/>
      <c r="AP48" s="143"/>
      <c r="AQ48" s="143"/>
      <c r="AR48" s="143"/>
      <c r="AS48" s="143"/>
      <c r="AT48" s="143"/>
      <c r="AU48" s="143"/>
      <c r="AV48" s="143"/>
      <c r="AW48" s="138">
        <v>538</v>
      </c>
      <c r="AX48" s="138" t="s">
        <v>214</v>
      </c>
      <c r="AY48" s="138" t="s">
        <v>111</v>
      </c>
      <c r="AZ48" s="138" t="s">
        <v>68</v>
      </c>
      <c r="BA48" s="138" t="s">
        <v>67</v>
      </c>
      <c r="BB48" s="138" t="s">
        <v>68</v>
      </c>
      <c r="BC48" s="143"/>
      <c r="BD48" s="143"/>
      <c r="BE48" s="143"/>
      <c r="BF48" s="143" t="s">
        <v>2</v>
      </c>
      <c r="BG48" s="143" t="s">
        <v>115</v>
      </c>
      <c r="BH48" s="148" t="s">
        <v>116</v>
      </c>
      <c r="BI48" s="138" t="s">
        <v>128</v>
      </c>
    </row>
    <row r="49" spans="1:61" s="6" customFormat="1" ht="13.5" customHeight="1" outlineLevel="6" x14ac:dyDescent="0.35">
      <c r="A49" s="149" t="s">
        <v>129</v>
      </c>
      <c r="B49" s="149" t="s">
        <v>126</v>
      </c>
      <c r="C49" s="150" t="s">
        <v>134</v>
      </c>
      <c r="D49" s="150" t="s">
        <v>161</v>
      </c>
      <c r="E49" s="150" t="s">
        <v>164</v>
      </c>
      <c r="F49" s="150" t="s">
        <v>159</v>
      </c>
      <c r="G49" s="150" t="s">
        <v>167</v>
      </c>
      <c r="H49" s="151" t="s">
        <v>159</v>
      </c>
      <c r="I49" s="151" t="s">
        <v>158</v>
      </c>
      <c r="J49" s="152" t="s">
        <v>158</v>
      </c>
      <c r="K49" s="150" t="s">
        <v>158</v>
      </c>
      <c r="L49" s="153" t="s">
        <v>158</v>
      </c>
      <c r="M49" s="153" t="s">
        <v>158</v>
      </c>
      <c r="N49" s="153" t="s">
        <v>158</v>
      </c>
      <c r="O49" s="153" t="s">
        <v>158</v>
      </c>
      <c r="P49" s="154">
        <f t="shared" si="0"/>
        <v>100</v>
      </c>
      <c r="Q49" s="154" t="s">
        <v>67</v>
      </c>
      <c r="R49" s="154" t="s">
        <v>124</v>
      </c>
      <c r="S49" s="155" t="s">
        <v>156</v>
      </c>
      <c r="T49" s="155" t="s">
        <v>91</v>
      </c>
      <c r="U49" s="156" t="s">
        <v>98</v>
      </c>
      <c r="V49" s="157"/>
      <c r="W49" s="158"/>
      <c r="X49" s="158"/>
      <c r="Y49" s="158"/>
      <c r="Z49" s="154"/>
      <c r="AA49" s="158" t="s">
        <v>129</v>
      </c>
      <c r="AB49" s="158"/>
      <c r="AC49" s="158"/>
      <c r="AD49" s="158"/>
      <c r="AE49" s="158"/>
      <c r="AF49" s="158"/>
      <c r="AG49" s="158"/>
      <c r="AH49" s="158"/>
      <c r="AI49" s="158"/>
      <c r="AJ49" s="158"/>
      <c r="AK49" s="154"/>
      <c r="AL49" s="154"/>
      <c r="AM49" s="154"/>
      <c r="AN49" s="154"/>
      <c r="AO49" s="154"/>
      <c r="AP49" s="154"/>
      <c r="AQ49" s="154"/>
      <c r="AR49" s="154"/>
      <c r="AS49" s="154"/>
      <c r="AT49" s="154"/>
      <c r="AU49" s="154"/>
      <c r="AV49" s="154"/>
      <c r="AW49" s="155">
        <v>538.1</v>
      </c>
      <c r="AX49" s="155" t="s">
        <v>215</v>
      </c>
      <c r="AY49" s="155" t="s">
        <v>111</v>
      </c>
      <c r="AZ49" s="155" t="s">
        <v>68</v>
      </c>
      <c r="BA49" s="155" t="s">
        <v>67</v>
      </c>
      <c r="BB49" s="155" t="s">
        <v>68</v>
      </c>
      <c r="BC49" s="154"/>
      <c r="BD49" s="154"/>
      <c r="BE49" s="154"/>
      <c r="BF49" s="154" t="s">
        <v>2</v>
      </c>
      <c r="BG49" s="154" t="s">
        <v>115</v>
      </c>
      <c r="BH49" s="159" t="s">
        <v>116</v>
      </c>
      <c r="BI49" s="155" t="s">
        <v>128</v>
      </c>
    </row>
    <row r="50" spans="1:61" s="6" customFormat="1" ht="13.5" customHeight="1" outlineLevel="6" x14ac:dyDescent="0.35">
      <c r="A50" s="149" t="s">
        <v>130</v>
      </c>
      <c r="B50" s="149" t="s">
        <v>126</v>
      </c>
      <c r="C50" s="150" t="s">
        <v>134</v>
      </c>
      <c r="D50" s="150" t="s">
        <v>161</v>
      </c>
      <c r="E50" s="150" t="s">
        <v>164</v>
      </c>
      <c r="F50" s="150" t="s">
        <v>159</v>
      </c>
      <c r="G50" s="150" t="s">
        <v>167</v>
      </c>
      <c r="H50" s="151" t="s">
        <v>160</v>
      </c>
      <c r="I50" s="151" t="s">
        <v>158</v>
      </c>
      <c r="J50" s="152" t="s">
        <v>158</v>
      </c>
      <c r="K50" s="150" t="s">
        <v>158</v>
      </c>
      <c r="L50" s="153" t="s">
        <v>158</v>
      </c>
      <c r="M50" s="153" t="s">
        <v>158</v>
      </c>
      <c r="N50" s="153" t="s">
        <v>158</v>
      </c>
      <c r="O50" s="153" t="s">
        <v>158</v>
      </c>
      <c r="P50" s="154">
        <f t="shared" si="0"/>
        <v>102</v>
      </c>
      <c r="Q50" s="154" t="s">
        <v>67</v>
      </c>
      <c r="R50" s="154" t="s">
        <v>124</v>
      </c>
      <c r="S50" s="155" t="s">
        <v>156</v>
      </c>
      <c r="T50" s="155" t="s">
        <v>91</v>
      </c>
      <c r="U50" s="156" t="s">
        <v>117</v>
      </c>
      <c r="V50" s="157"/>
      <c r="W50" s="158"/>
      <c r="X50" s="158"/>
      <c r="Y50" s="158"/>
      <c r="Z50" s="154"/>
      <c r="AA50" s="158" t="s">
        <v>130</v>
      </c>
      <c r="AB50" s="158"/>
      <c r="AC50" s="158"/>
      <c r="AD50" s="158"/>
      <c r="AE50" s="158"/>
      <c r="AF50" s="158"/>
      <c r="AG50" s="158"/>
      <c r="AH50" s="158"/>
      <c r="AI50" s="158"/>
      <c r="AJ50" s="158"/>
      <c r="AK50" s="154"/>
      <c r="AL50" s="154"/>
      <c r="AM50" s="154"/>
      <c r="AN50" s="154"/>
      <c r="AO50" s="154"/>
      <c r="AP50" s="154"/>
      <c r="AQ50" s="154"/>
      <c r="AR50" s="154"/>
      <c r="AS50" s="154"/>
      <c r="AT50" s="154"/>
      <c r="AU50" s="154"/>
      <c r="AV50" s="154"/>
      <c r="AW50" s="155">
        <v>538.20000000000005</v>
      </c>
      <c r="AX50" s="155" t="s">
        <v>216</v>
      </c>
      <c r="AY50" s="155" t="s">
        <v>111</v>
      </c>
      <c r="AZ50" s="155" t="s">
        <v>68</v>
      </c>
      <c r="BA50" s="155" t="s">
        <v>67</v>
      </c>
      <c r="BB50" s="155" t="s">
        <v>68</v>
      </c>
      <c r="BC50" s="154"/>
      <c r="BD50" s="154"/>
      <c r="BE50" s="154"/>
      <c r="BF50" s="154" t="s">
        <v>2</v>
      </c>
      <c r="BG50" s="154" t="s">
        <v>115</v>
      </c>
      <c r="BH50" s="159" t="s">
        <v>116</v>
      </c>
      <c r="BI50" s="155" t="s">
        <v>128</v>
      </c>
    </row>
    <row r="51" spans="1:61" s="6" customFormat="1" ht="13.5" customHeight="1" outlineLevel="6" x14ac:dyDescent="0.35">
      <c r="A51" s="149" t="s">
        <v>131</v>
      </c>
      <c r="B51" s="149" t="s">
        <v>126</v>
      </c>
      <c r="C51" s="150" t="s">
        <v>134</v>
      </c>
      <c r="D51" s="150" t="s">
        <v>161</v>
      </c>
      <c r="E51" s="150" t="s">
        <v>164</v>
      </c>
      <c r="F51" s="150" t="s">
        <v>159</v>
      </c>
      <c r="G51" s="150" t="s">
        <v>167</v>
      </c>
      <c r="H51" s="151" t="s">
        <v>161</v>
      </c>
      <c r="I51" s="151" t="s">
        <v>158</v>
      </c>
      <c r="J51" s="152" t="s">
        <v>158</v>
      </c>
      <c r="K51" s="150" t="s">
        <v>158</v>
      </c>
      <c r="L51" s="153" t="s">
        <v>158</v>
      </c>
      <c r="M51" s="153" t="s">
        <v>158</v>
      </c>
      <c r="N51" s="153" t="s">
        <v>158</v>
      </c>
      <c r="O51" s="153" t="s">
        <v>158</v>
      </c>
      <c r="P51" s="154">
        <f t="shared" si="0"/>
        <v>91</v>
      </c>
      <c r="Q51" s="154" t="s">
        <v>67</v>
      </c>
      <c r="R51" s="154" t="s">
        <v>124</v>
      </c>
      <c r="S51" s="155" t="s">
        <v>156</v>
      </c>
      <c r="T51" s="155" t="s">
        <v>91</v>
      </c>
      <c r="U51" s="156" t="s">
        <v>97</v>
      </c>
      <c r="V51" s="157"/>
      <c r="W51" s="158"/>
      <c r="X51" s="158"/>
      <c r="Y51" s="158"/>
      <c r="Z51" s="154"/>
      <c r="AA51" s="158" t="s">
        <v>131</v>
      </c>
      <c r="AB51" s="158"/>
      <c r="AC51" s="158"/>
      <c r="AD51" s="158"/>
      <c r="AE51" s="158"/>
      <c r="AF51" s="158"/>
      <c r="AG51" s="158"/>
      <c r="AH51" s="158"/>
      <c r="AI51" s="158"/>
      <c r="AJ51" s="158"/>
      <c r="AK51" s="154"/>
      <c r="AL51" s="154"/>
      <c r="AM51" s="154"/>
      <c r="AN51" s="154"/>
      <c r="AO51" s="154"/>
      <c r="AP51" s="154"/>
      <c r="AQ51" s="154"/>
      <c r="AR51" s="154"/>
      <c r="AS51" s="154"/>
      <c r="AT51" s="154"/>
      <c r="AU51" s="154"/>
      <c r="AV51" s="154"/>
      <c r="AW51" s="155">
        <v>538.29999999999995</v>
      </c>
      <c r="AX51" s="155" t="s">
        <v>217</v>
      </c>
      <c r="AY51" s="155" t="s">
        <v>111</v>
      </c>
      <c r="AZ51" s="155" t="s">
        <v>68</v>
      </c>
      <c r="BA51" s="155" t="s">
        <v>67</v>
      </c>
      <c r="BB51" s="155" t="s">
        <v>68</v>
      </c>
      <c r="BC51" s="154"/>
      <c r="BD51" s="154"/>
      <c r="BE51" s="154"/>
      <c r="BF51" s="154" t="s">
        <v>2</v>
      </c>
      <c r="BG51" s="154" t="s">
        <v>115</v>
      </c>
      <c r="BH51" s="159" t="s">
        <v>116</v>
      </c>
      <c r="BI51" s="155" t="s">
        <v>128</v>
      </c>
    </row>
    <row r="52" spans="1:61" s="6" customFormat="1" ht="13.5" customHeight="1" outlineLevel="6" x14ac:dyDescent="0.35">
      <c r="A52" s="149" t="s">
        <v>132</v>
      </c>
      <c r="B52" s="149" t="s">
        <v>126</v>
      </c>
      <c r="C52" s="150" t="s">
        <v>134</v>
      </c>
      <c r="D52" s="150" t="s">
        <v>161</v>
      </c>
      <c r="E52" s="150" t="s">
        <v>164</v>
      </c>
      <c r="F52" s="150" t="s">
        <v>159</v>
      </c>
      <c r="G52" s="150" t="s">
        <v>167</v>
      </c>
      <c r="H52" s="151" t="s">
        <v>162</v>
      </c>
      <c r="I52" s="151" t="s">
        <v>158</v>
      </c>
      <c r="J52" s="152" t="s">
        <v>158</v>
      </c>
      <c r="K52" s="150" t="s">
        <v>158</v>
      </c>
      <c r="L52" s="153" t="s">
        <v>158</v>
      </c>
      <c r="M52" s="153" t="s">
        <v>158</v>
      </c>
      <c r="N52" s="153" t="s">
        <v>158</v>
      </c>
      <c r="O52" s="153" t="s">
        <v>158</v>
      </c>
      <c r="P52" s="154">
        <f t="shared" si="0"/>
        <v>132</v>
      </c>
      <c r="Q52" s="154" t="s">
        <v>67</v>
      </c>
      <c r="R52" s="154" t="s">
        <v>124</v>
      </c>
      <c r="S52" s="155" t="s">
        <v>156</v>
      </c>
      <c r="T52" s="155" t="s">
        <v>91</v>
      </c>
      <c r="U52" s="156" t="s">
        <v>97</v>
      </c>
      <c r="V52" s="157"/>
      <c r="W52" s="158"/>
      <c r="X52" s="158"/>
      <c r="Y52" s="158"/>
      <c r="Z52" s="154"/>
      <c r="AA52" s="158" t="s">
        <v>132</v>
      </c>
      <c r="AB52" s="158"/>
      <c r="AC52" s="158"/>
      <c r="AD52" s="158"/>
      <c r="AE52" s="158"/>
      <c r="AF52" s="158"/>
      <c r="AG52" s="158"/>
      <c r="AH52" s="158"/>
      <c r="AI52" s="158"/>
      <c r="AJ52" s="158"/>
      <c r="AK52" s="154"/>
      <c r="AL52" s="154"/>
      <c r="AM52" s="154"/>
      <c r="AN52" s="154"/>
      <c r="AO52" s="154"/>
      <c r="AP52" s="154"/>
      <c r="AQ52" s="154"/>
      <c r="AR52" s="154"/>
      <c r="AS52" s="154"/>
      <c r="AT52" s="154"/>
      <c r="AU52" s="154"/>
      <c r="AV52" s="154"/>
      <c r="AW52" s="155">
        <v>539</v>
      </c>
      <c r="AX52" s="155" t="s">
        <v>218</v>
      </c>
      <c r="AY52" s="155" t="s">
        <v>111</v>
      </c>
      <c r="AZ52" s="155" t="s">
        <v>68</v>
      </c>
      <c r="BA52" s="155" t="s">
        <v>67</v>
      </c>
      <c r="BB52" s="155" t="s">
        <v>68</v>
      </c>
      <c r="BC52" s="154"/>
      <c r="BD52" s="154"/>
      <c r="BE52" s="154"/>
      <c r="BF52" s="154" t="s">
        <v>2</v>
      </c>
      <c r="BG52" s="154" t="s">
        <v>115</v>
      </c>
      <c r="BH52" s="159" t="s">
        <v>116</v>
      </c>
      <c r="BI52" s="155" t="s">
        <v>128</v>
      </c>
    </row>
  </sheetData>
  <autoFilter ref="A6:IK52" xr:uid="{00000000-0009-0000-0000-00000D000000}"/>
  <sortState xmlns:xlrd2="http://schemas.microsoft.com/office/spreadsheetml/2017/richdata2" ref="A15:BJ28">
    <sortCondition ref="AA15:AA28"/>
  </sortState>
  <mergeCells count="35">
    <mergeCell ref="A1:AG1"/>
    <mergeCell ref="C5:O5"/>
    <mergeCell ref="A5:A6"/>
    <mergeCell ref="B5:B6"/>
    <mergeCell ref="P5:P6"/>
    <mergeCell ref="Q5:Q6"/>
    <mergeCell ref="R5:R6"/>
    <mergeCell ref="S5:S6"/>
    <mergeCell ref="T5:T6"/>
    <mergeCell ref="U3:U6"/>
    <mergeCell ref="V5:V6"/>
    <mergeCell ref="W5:W6"/>
    <mergeCell ref="X5:X6"/>
    <mergeCell ref="AA5:AA6"/>
    <mergeCell ref="A2:AG2"/>
    <mergeCell ref="V3:AG4"/>
    <mergeCell ref="AE5:AE6"/>
    <mergeCell ref="AF5:AF6"/>
    <mergeCell ref="AG5:AG6"/>
    <mergeCell ref="BC3:BE3"/>
    <mergeCell ref="A3:T4"/>
    <mergeCell ref="AH4:AI4"/>
    <mergeCell ref="AJ4:AV4"/>
    <mergeCell ref="AB5:AB6"/>
    <mergeCell ref="AC5:AC6"/>
    <mergeCell ref="AD5:AD6"/>
    <mergeCell ref="Y5:Y6"/>
    <mergeCell ref="Z5:Z6"/>
    <mergeCell ref="BF3:BH3"/>
    <mergeCell ref="AW3:BB3"/>
    <mergeCell ref="BA4:BB4"/>
    <mergeCell ref="AW4:AW5"/>
    <mergeCell ref="AX4:AX5"/>
    <mergeCell ref="AY4:AY5"/>
    <mergeCell ref="AZ4:AZ5"/>
  </mergeCells>
  <printOptions headings="1" gridLines="1"/>
  <pageMargins left="0.31496062992125984" right="0.31496062992125984" top="0.35433070866141736" bottom="0.35433070866141736" header="0.31496062992125984" footer="0.31496062992125984"/>
  <pageSetup paperSize="9" fitToWidth="4" fitToHeight="4" orientation="landscape" blackAndWhite="1"/>
  <headerFooter>
    <oddHeader>&amp;R&amp;"-,Bold"SCOA MUNICS (VERSION 3) JULY 2012Section F:  ITEM  SEGMENT - EXPENDITURE</oddHeader>
    <oddFooter>&amp;L&amp;P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72"/>
  <sheetViews>
    <sheetView topLeftCell="H1" zoomScaleNormal="100" workbookViewId="0">
      <selection activeCell="Q61" sqref="Q61"/>
    </sheetView>
  </sheetViews>
  <sheetFormatPr defaultRowHeight="14.5" x14ac:dyDescent="0.35"/>
  <cols>
    <col min="1" max="1" width="18.54296875" bestFit="1" customWidth="1"/>
    <col min="2" max="2" width="20.6328125" bestFit="1" customWidth="1"/>
    <col min="3" max="3" width="13.36328125" style="327" bestFit="1" customWidth="1"/>
    <col min="4" max="4" width="11.54296875" style="327" bestFit="1" customWidth="1"/>
    <col min="5" max="5" width="17.453125" bestFit="1" customWidth="1"/>
    <col min="6" max="17" width="15.36328125" bestFit="1" customWidth="1"/>
    <col min="18" max="18" width="16.54296875" bestFit="1" customWidth="1"/>
  </cols>
  <sheetData>
    <row r="1" spans="1:17" x14ac:dyDescent="0.35">
      <c r="A1" s="319"/>
      <c r="B1" s="319"/>
      <c r="C1" s="320"/>
      <c r="D1" s="320"/>
      <c r="E1" s="319" t="s">
        <v>282</v>
      </c>
      <c r="F1" s="321">
        <v>42552</v>
      </c>
      <c r="G1" s="321">
        <v>42217</v>
      </c>
      <c r="H1" s="321">
        <v>42248</v>
      </c>
      <c r="I1" s="321">
        <v>42278</v>
      </c>
      <c r="J1" s="321">
        <v>42309</v>
      </c>
      <c r="K1" s="321">
        <v>42339</v>
      </c>
      <c r="L1" s="321">
        <v>42370</v>
      </c>
      <c r="M1" s="321">
        <v>42401</v>
      </c>
      <c r="N1" s="321">
        <v>42430</v>
      </c>
      <c r="O1" s="321">
        <v>42461</v>
      </c>
      <c r="P1" s="321">
        <v>42491</v>
      </c>
      <c r="Q1" s="321">
        <v>42522</v>
      </c>
    </row>
    <row r="2" spans="1:17" x14ac:dyDescent="0.35">
      <c r="A2" s="319" t="s">
        <v>1380</v>
      </c>
      <c r="B2" s="319"/>
      <c r="C2" s="320" t="s">
        <v>249</v>
      </c>
      <c r="D2" s="320" t="s">
        <v>250</v>
      </c>
      <c r="E2" s="322">
        <v>637817775.77741349</v>
      </c>
    </row>
    <row r="3" spans="1:17" x14ac:dyDescent="0.35">
      <c r="A3" s="323"/>
      <c r="B3" s="323" t="s">
        <v>251</v>
      </c>
      <c r="C3" s="324">
        <v>1.2060400000000002</v>
      </c>
      <c r="D3" s="324">
        <v>1.5678520000000002</v>
      </c>
      <c r="E3" s="325">
        <v>469875855.40726644</v>
      </c>
      <c r="F3" s="326">
        <v>32571298.120600745</v>
      </c>
      <c r="G3" s="326">
        <v>32380802.225599684</v>
      </c>
      <c r="H3" s="326">
        <v>49432184.785097219</v>
      </c>
      <c r="I3" s="326">
        <v>38168792.884716205</v>
      </c>
      <c r="J3" s="326">
        <v>38059372.165701874</v>
      </c>
      <c r="K3" s="326">
        <v>39633761.316089161</v>
      </c>
      <c r="L3" s="326">
        <v>38674166.609794721</v>
      </c>
      <c r="M3" s="326">
        <v>37001894.953294426</v>
      </c>
      <c r="N3" s="326">
        <v>39427419.608703606</v>
      </c>
      <c r="O3" s="326">
        <v>39333575.477106072</v>
      </c>
      <c r="P3" s="326">
        <v>45034029.561011121</v>
      </c>
      <c r="Q3" s="326">
        <v>40158557.699551605</v>
      </c>
    </row>
    <row r="4" spans="1:17" x14ac:dyDescent="0.35">
      <c r="A4" s="323"/>
      <c r="B4" s="323" t="s">
        <v>283</v>
      </c>
      <c r="C4" s="324">
        <v>1.3924280000000002</v>
      </c>
      <c r="D4" s="324">
        <v>1.8101564000000003</v>
      </c>
      <c r="E4" s="325">
        <v>167941920.37014705</v>
      </c>
      <c r="F4" s="326">
        <v>7508684.3316106172</v>
      </c>
      <c r="G4" s="326">
        <v>6045502.6799161322</v>
      </c>
      <c r="H4" s="326">
        <v>17616742.87653945</v>
      </c>
      <c r="I4" s="326">
        <v>13061779.54549966</v>
      </c>
      <c r="J4" s="326">
        <v>12448418.287306275</v>
      </c>
      <c r="K4" s="326">
        <v>12757963.015523612</v>
      </c>
      <c r="L4" s="326">
        <v>11900775.892656386</v>
      </c>
      <c r="M4" s="326">
        <v>11305642.738168813</v>
      </c>
      <c r="N4" s="326">
        <v>13658755.492444698</v>
      </c>
      <c r="O4" s="326">
        <v>14257818.457353614</v>
      </c>
      <c r="P4" s="326">
        <v>27534871.685595728</v>
      </c>
      <c r="Q4" s="326">
        <v>19844965.367532067</v>
      </c>
    </row>
    <row r="5" spans="1:17" x14ac:dyDescent="0.35">
      <c r="A5" s="319" t="s">
        <v>284</v>
      </c>
      <c r="B5" s="319"/>
      <c r="C5" s="320" t="s">
        <v>249</v>
      </c>
      <c r="D5" s="320" t="s">
        <v>250</v>
      </c>
      <c r="E5" s="322">
        <v>162893809.91190079</v>
      </c>
    </row>
    <row r="6" spans="1:17" x14ac:dyDescent="0.35">
      <c r="A6" s="323"/>
      <c r="B6" s="323" t="s">
        <v>251</v>
      </c>
      <c r="C6" s="324">
        <v>1.3266440000000004</v>
      </c>
      <c r="D6" s="324">
        <v>1.7246372000000003</v>
      </c>
      <c r="E6" s="325">
        <v>34700138.853403673</v>
      </c>
      <c r="F6" s="326">
        <v>4571339.6553125568</v>
      </c>
      <c r="G6" s="326">
        <v>4435696.9471209599</v>
      </c>
      <c r="H6" s="326">
        <v>4237595.9360155798</v>
      </c>
      <c r="I6" s="326">
        <v>3043074.0359735666</v>
      </c>
      <c r="J6" s="326">
        <v>2783092.2298280648</v>
      </c>
      <c r="K6" s="326">
        <v>2457445.6486740611</v>
      </c>
      <c r="L6" s="326">
        <v>2519086.2400922333</v>
      </c>
      <c r="M6" s="326">
        <v>2307166.4928414966</v>
      </c>
      <c r="N6" s="326">
        <v>2210037.546655383</v>
      </c>
      <c r="O6" s="326">
        <v>2133681.6629145606</v>
      </c>
      <c r="P6" s="326">
        <v>2092645.5356643021</v>
      </c>
      <c r="Q6" s="326">
        <v>1909276.9223109125</v>
      </c>
    </row>
    <row r="7" spans="1:17" x14ac:dyDescent="0.35">
      <c r="A7" s="323"/>
      <c r="B7" s="323" t="s">
        <v>283</v>
      </c>
      <c r="C7" s="324">
        <v>1.5316708000000003</v>
      </c>
      <c r="D7" s="324">
        <v>1.9911720400000006</v>
      </c>
      <c r="E7" s="325">
        <v>128193671.05849712</v>
      </c>
      <c r="F7" s="326">
        <v>20939420.525321227</v>
      </c>
      <c r="G7" s="326">
        <v>19006943.924580023</v>
      </c>
      <c r="H7" s="326">
        <v>14515037.095103761</v>
      </c>
      <c r="I7" s="326">
        <v>10742549.570947004</v>
      </c>
      <c r="J7" s="326">
        <v>9490331.4788290411</v>
      </c>
      <c r="K7" s="326">
        <v>8835346.4532727711</v>
      </c>
      <c r="L7" s="326">
        <v>10661923.816857507</v>
      </c>
      <c r="M7" s="326">
        <v>6750116.9601180507</v>
      </c>
      <c r="N7" s="326">
        <v>8868675.26418267</v>
      </c>
      <c r="O7" s="326">
        <v>5253485.1759802373</v>
      </c>
      <c r="P7" s="326">
        <v>6291535.105362582</v>
      </c>
      <c r="Q7" s="326">
        <v>6838305.6879422227</v>
      </c>
    </row>
    <row r="8" spans="1:17" x14ac:dyDescent="0.35">
      <c r="A8" s="319" t="s">
        <v>1381</v>
      </c>
      <c r="B8" s="319"/>
      <c r="C8" s="320" t="s">
        <v>249</v>
      </c>
      <c r="D8" s="320" t="s">
        <v>250</v>
      </c>
      <c r="E8" s="322">
        <v>15972710.522682462</v>
      </c>
    </row>
    <row r="9" spans="1:17" x14ac:dyDescent="0.35">
      <c r="A9" s="323"/>
      <c r="B9" s="323" t="s">
        <v>255</v>
      </c>
      <c r="C9" s="324">
        <v>356.85889199999997</v>
      </c>
      <c r="D9" s="324">
        <v>356.85889199999997</v>
      </c>
      <c r="E9" s="325">
        <v>658047.79684799991</v>
      </c>
      <c r="F9" s="326">
        <v>56383.704935999995</v>
      </c>
      <c r="G9" s="326">
        <v>56383.704935999995</v>
      </c>
      <c r="H9" s="326">
        <v>56740.563827999998</v>
      </c>
      <c r="I9" s="326">
        <v>57811.140503999995</v>
      </c>
      <c r="J9" s="326">
        <v>57811.140503999995</v>
      </c>
      <c r="K9" s="326">
        <v>57811.140503999995</v>
      </c>
      <c r="L9" s="326">
        <v>55669.987151999994</v>
      </c>
      <c r="M9" s="326">
        <v>51030.821555999995</v>
      </c>
      <c r="N9" s="326">
        <v>51744.539339999996</v>
      </c>
      <c r="O9" s="326">
        <v>51387.680447999999</v>
      </c>
      <c r="P9" s="326">
        <v>52101.398231999992</v>
      </c>
      <c r="Q9" s="326">
        <v>53171.974907999997</v>
      </c>
    </row>
    <row r="10" spans="1:17" x14ac:dyDescent="0.35">
      <c r="A10" s="323"/>
      <c r="B10" s="323" t="s">
        <v>234</v>
      </c>
      <c r="C10" s="324">
        <v>1.7980959999999999</v>
      </c>
      <c r="D10" s="324">
        <v>3.2182207200000001</v>
      </c>
      <c r="E10" s="325">
        <v>3993162.2770106224</v>
      </c>
      <c r="F10" s="326">
        <v>709282.26579656161</v>
      </c>
      <c r="G10" s="326">
        <v>598032.17300661118</v>
      </c>
      <c r="H10" s="326">
        <v>520257.78687065048</v>
      </c>
      <c r="I10" s="326">
        <v>267326.99601696001</v>
      </c>
      <c r="J10" s="326">
        <v>252331.30691999997</v>
      </c>
      <c r="K10" s="326">
        <v>200134.77371711997</v>
      </c>
      <c r="L10" s="326">
        <v>217159.79395967998</v>
      </c>
      <c r="M10" s="326">
        <v>197026.69285728</v>
      </c>
      <c r="N10" s="326">
        <v>225593.97901919999</v>
      </c>
      <c r="O10" s="326">
        <v>215066.37867263998</v>
      </c>
      <c r="P10" s="326">
        <v>258077.51826911996</v>
      </c>
      <c r="Q10" s="326">
        <v>332872.6119048</v>
      </c>
    </row>
    <row r="11" spans="1:17" x14ac:dyDescent="0.35">
      <c r="A11" s="323"/>
      <c r="B11" s="323" t="s">
        <v>231</v>
      </c>
      <c r="C11" s="324">
        <v>1.3239719999999999</v>
      </c>
      <c r="D11" s="324">
        <v>1.786824</v>
      </c>
      <c r="E11" s="325">
        <v>5584262.28384024</v>
      </c>
      <c r="F11" s="326">
        <v>774201.17792160006</v>
      </c>
      <c r="G11" s="326">
        <v>704886.41542176006</v>
      </c>
      <c r="H11" s="326">
        <v>607530.16621439997</v>
      </c>
      <c r="I11" s="326">
        <v>441452.01043943997</v>
      </c>
      <c r="J11" s="326">
        <v>419368.79298600001</v>
      </c>
      <c r="K11" s="326">
        <v>354817.84966055996</v>
      </c>
      <c r="L11" s="326">
        <v>385842.88272815995</v>
      </c>
      <c r="M11" s="326">
        <v>324262.05874919996</v>
      </c>
      <c r="N11" s="326">
        <v>346092.30487259995</v>
      </c>
      <c r="O11" s="326">
        <v>330115.78911167994</v>
      </c>
      <c r="P11" s="326">
        <v>396703.61040024</v>
      </c>
      <c r="Q11" s="326">
        <v>498989.22533459991</v>
      </c>
    </row>
    <row r="12" spans="1:17" x14ac:dyDescent="0.35">
      <c r="A12" s="323"/>
      <c r="B12" s="323" t="s">
        <v>285</v>
      </c>
      <c r="C12" s="324">
        <v>1.1896260000000003</v>
      </c>
      <c r="D12" s="324">
        <v>1.6877952000000003</v>
      </c>
      <c r="E12" s="325">
        <v>5737238.1649836013</v>
      </c>
      <c r="F12" s="326">
        <v>727597.57380710414</v>
      </c>
      <c r="G12" s="326">
        <v>773534.43078912003</v>
      </c>
      <c r="H12" s="326">
        <v>629120.39487897616</v>
      </c>
      <c r="I12" s="326">
        <v>425466.64587240003</v>
      </c>
      <c r="J12" s="326">
        <v>427946.94470484013</v>
      </c>
      <c r="K12" s="326">
        <v>411348.0217492801</v>
      </c>
      <c r="L12" s="326">
        <v>443146.72472928016</v>
      </c>
      <c r="M12" s="326">
        <v>309715.83383598004</v>
      </c>
      <c r="N12" s="326">
        <v>345469.35328290006</v>
      </c>
      <c r="O12" s="326">
        <v>372935.18854944006</v>
      </c>
      <c r="P12" s="326">
        <v>416459.36882088013</v>
      </c>
      <c r="Q12" s="326">
        <v>454497.68396340014</v>
      </c>
    </row>
    <row r="13" spans="1:17" x14ac:dyDescent="0.35">
      <c r="A13" s="319" t="s">
        <v>286</v>
      </c>
      <c r="B13" s="319"/>
      <c r="C13" s="320" t="s">
        <v>287</v>
      </c>
      <c r="D13" s="320"/>
      <c r="E13" s="322">
        <v>25083822.389933541</v>
      </c>
      <c r="F13" s="326"/>
      <c r="G13" s="326"/>
      <c r="H13" s="326"/>
      <c r="I13" s="326"/>
      <c r="J13" s="326"/>
      <c r="K13" s="326"/>
      <c r="L13" s="326"/>
      <c r="M13" s="326"/>
      <c r="N13" s="326"/>
      <c r="O13" s="326"/>
      <c r="P13" s="326"/>
      <c r="Q13" s="326"/>
    </row>
    <row r="14" spans="1:17" x14ac:dyDescent="0.35">
      <c r="A14" s="323"/>
      <c r="B14" s="323" t="s">
        <v>279</v>
      </c>
      <c r="C14" s="324">
        <v>1.7330040000000002</v>
      </c>
      <c r="D14" s="324">
        <v>1.868608</v>
      </c>
      <c r="E14" s="325">
        <v>25083822.389933541</v>
      </c>
      <c r="F14" s="326">
        <v>2197199.7703789058</v>
      </c>
      <c r="G14" s="326">
        <v>2085889.8204587523</v>
      </c>
      <c r="H14" s="326">
        <v>1881545.0772754946</v>
      </c>
      <c r="I14" s="326">
        <v>1922340.2535821488</v>
      </c>
      <c r="J14" s="326">
        <v>1821970.0328281452</v>
      </c>
      <c r="K14" s="326">
        <v>1911880.5786580502</v>
      </c>
      <c r="L14" s="326">
        <v>2099519.224500298</v>
      </c>
      <c r="M14" s="326">
        <v>1928897.9197488003</v>
      </c>
      <c r="N14" s="326">
        <v>2313082.2014235938</v>
      </c>
      <c r="O14" s="326">
        <v>2094362.4575922049</v>
      </c>
      <c r="P14" s="326">
        <v>2274348.751497623</v>
      </c>
      <c r="Q14" s="326">
        <v>2552786.3019895237</v>
      </c>
    </row>
    <row r="15" spans="1:17" x14ac:dyDescent="0.35">
      <c r="A15" s="319" t="s">
        <v>288</v>
      </c>
      <c r="B15" s="319"/>
      <c r="C15" s="320" t="s">
        <v>287</v>
      </c>
      <c r="D15" s="320"/>
      <c r="E15" s="322">
        <v>119154005.01376556</v>
      </c>
      <c r="F15" s="326"/>
      <c r="G15" s="326"/>
      <c r="H15" s="326"/>
      <c r="I15" s="326"/>
      <c r="J15" s="326"/>
      <c r="K15" s="326"/>
      <c r="L15" s="326"/>
      <c r="M15" s="326"/>
      <c r="N15" s="326"/>
      <c r="O15" s="326"/>
      <c r="P15" s="326"/>
      <c r="Q15" s="326"/>
    </row>
    <row r="16" spans="1:17" x14ac:dyDescent="0.35">
      <c r="A16" s="323"/>
      <c r="B16" s="323" t="s">
        <v>279</v>
      </c>
      <c r="C16" s="324">
        <v>1.7330040000000002</v>
      </c>
      <c r="D16" s="324">
        <v>1.868608</v>
      </c>
      <c r="E16" s="325">
        <v>119154005.01376556</v>
      </c>
      <c r="F16" s="326">
        <v>10774686.779232647</v>
      </c>
      <c r="G16" s="326">
        <v>8861288.974921152</v>
      </c>
      <c r="H16" s="326">
        <v>7576204.3992258608</v>
      </c>
      <c r="I16" s="326">
        <v>12115967.263750352</v>
      </c>
      <c r="J16" s="326">
        <v>8527222.6769201476</v>
      </c>
      <c r="K16" s="326">
        <v>5188160.3102128804</v>
      </c>
      <c r="L16" s="326">
        <v>8466661.8910161294</v>
      </c>
      <c r="M16" s="326">
        <v>18503519.776418477</v>
      </c>
      <c r="N16" s="326">
        <v>13088348.985313604</v>
      </c>
      <c r="O16" s="326">
        <v>8749502.8902937677</v>
      </c>
      <c r="P16" s="326">
        <v>9071385.8691456001</v>
      </c>
      <c r="Q16" s="326">
        <v>8231055.1973149506</v>
      </c>
    </row>
    <row r="17" spans="1:17" x14ac:dyDescent="0.35">
      <c r="A17" s="319" t="s">
        <v>253</v>
      </c>
      <c r="B17" s="319"/>
      <c r="C17" s="320" t="s">
        <v>249</v>
      </c>
      <c r="D17" s="320" t="s">
        <v>250</v>
      </c>
      <c r="E17" s="322">
        <v>38492108.6539158</v>
      </c>
      <c r="F17" s="326"/>
      <c r="G17" s="326"/>
      <c r="H17" s="326"/>
      <c r="I17" s="326"/>
      <c r="J17" s="326"/>
      <c r="K17" s="326"/>
      <c r="L17" s="326"/>
      <c r="M17" s="326"/>
      <c r="N17" s="326"/>
      <c r="O17" s="326"/>
      <c r="P17" s="326"/>
      <c r="Q17" s="326"/>
    </row>
    <row r="18" spans="1:17" x14ac:dyDescent="0.35">
      <c r="A18" s="323"/>
      <c r="B18" s="323" t="s">
        <v>255</v>
      </c>
      <c r="C18" s="324">
        <v>428.23497599999996</v>
      </c>
      <c r="D18" s="324">
        <v>428.23497599999996</v>
      </c>
      <c r="E18" s="325">
        <v>2091071.3878079997</v>
      </c>
      <c r="F18" s="326">
        <v>177289.28006399999</v>
      </c>
      <c r="G18" s="326">
        <v>177289.28006399999</v>
      </c>
      <c r="H18" s="326">
        <v>179858.68991999998</v>
      </c>
      <c r="I18" s="326">
        <v>179858.68991999998</v>
      </c>
      <c r="J18" s="326">
        <v>179430.454944</v>
      </c>
      <c r="K18" s="326">
        <v>179430.454944</v>
      </c>
      <c r="L18" s="326">
        <v>168724.580544</v>
      </c>
      <c r="M18" s="326">
        <v>170009.28547199999</v>
      </c>
      <c r="N18" s="326">
        <v>169152.81551999997</v>
      </c>
      <c r="O18" s="326">
        <v>168724.580544</v>
      </c>
      <c r="P18" s="326">
        <v>170437.520448</v>
      </c>
      <c r="Q18" s="326">
        <v>170865.75542399997</v>
      </c>
    </row>
    <row r="19" spans="1:17" x14ac:dyDescent="0.35">
      <c r="A19" s="323"/>
      <c r="B19" s="323" t="s">
        <v>234</v>
      </c>
      <c r="C19" s="324">
        <v>2.238912</v>
      </c>
      <c r="D19" s="324">
        <v>3.315312</v>
      </c>
      <c r="E19" s="325">
        <v>10102172.50291392</v>
      </c>
      <c r="F19" s="326">
        <v>1356096.14876736</v>
      </c>
      <c r="G19" s="326">
        <v>1116944.92413504</v>
      </c>
      <c r="H19" s="326">
        <v>1080749.2760064001</v>
      </c>
      <c r="I19" s="326">
        <v>799677.12464639999</v>
      </c>
      <c r="J19" s="326">
        <v>771768.88506431994</v>
      </c>
      <c r="K19" s="326">
        <v>756909.31567679998</v>
      </c>
      <c r="L19" s="326">
        <v>704761.18187903997</v>
      </c>
      <c r="M19" s="326">
        <v>696927.99002112006</v>
      </c>
      <c r="N19" s="326">
        <v>742446.50388480001</v>
      </c>
      <c r="O19" s="326">
        <v>615683.56037760002</v>
      </c>
      <c r="P19" s="326">
        <v>673982.54516735999</v>
      </c>
      <c r="Q19" s="326">
        <v>786225.04728767998</v>
      </c>
    </row>
    <row r="20" spans="1:17" x14ac:dyDescent="0.35">
      <c r="A20" s="323"/>
      <c r="B20" s="323" t="s">
        <v>231</v>
      </c>
      <c r="C20" s="324">
        <v>1.248624</v>
      </c>
      <c r="D20" s="324">
        <v>2.0343960000000001</v>
      </c>
      <c r="E20" s="325">
        <v>15473433.63018024</v>
      </c>
      <c r="F20" s="326">
        <v>2016170.8227460801</v>
      </c>
      <c r="G20" s="326">
        <v>1770194.64710088</v>
      </c>
      <c r="H20" s="326">
        <v>1741711.9231512002</v>
      </c>
      <c r="I20" s="326">
        <v>1232528.2377407998</v>
      </c>
      <c r="J20" s="326">
        <v>1155527.9805326401</v>
      </c>
      <c r="K20" s="326">
        <v>1126005.3024105597</v>
      </c>
      <c r="L20" s="326">
        <v>1087069.4352460799</v>
      </c>
      <c r="M20" s="326">
        <v>1113994.9879344001</v>
      </c>
      <c r="N20" s="326">
        <v>1154768.9919479999</v>
      </c>
      <c r="O20" s="326">
        <v>944854.25823359995</v>
      </c>
      <c r="P20" s="326">
        <v>1020864.3690959999</v>
      </c>
      <c r="Q20" s="326">
        <v>1109742.67404</v>
      </c>
    </row>
    <row r="21" spans="1:17" x14ac:dyDescent="0.35">
      <c r="A21" s="323"/>
      <c r="B21" s="323" t="s">
        <v>285</v>
      </c>
      <c r="C21" s="324">
        <v>1.1603592</v>
      </c>
      <c r="D21" s="324">
        <v>1.4935050000000001</v>
      </c>
      <c r="E21" s="325">
        <v>10825431.13301364</v>
      </c>
      <c r="F21" s="326">
        <v>1012459.6446822</v>
      </c>
      <c r="G21" s="326">
        <v>1125091.1891934001</v>
      </c>
      <c r="H21" s="326">
        <v>1038310.9616880001</v>
      </c>
      <c r="I21" s="326">
        <v>842405.46245856001</v>
      </c>
      <c r="J21" s="326">
        <v>834623.79196996812</v>
      </c>
      <c r="K21" s="326">
        <v>922225.59712483198</v>
      </c>
      <c r="L21" s="326">
        <v>870368.47146849614</v>
      </c>
      <c r="M21" s="326">
        <v>802202.46244538412</v>
      </c>
      <c r="N21" s="326">
        <v>864863.63459496014</v>
      </c>
      <c r="O21" s="326">
        <v>856790.18018193601</v>
      </c>
      <c r="P21" s="326">
        <v>888805.99897689605</v>
      </c>
      <c r="Q21" s="326">
        <v>767283.73822900804</v>
      </c>
    </row>
    <row r="22" spans="1:17" x14ac:dyDescent="0.35">
      <c r="A22" s="319" t="s">
        <v>254</v>
      </c>
      <c r="B22" s="319"/>
      <c r="C22" s="320" t="s">
        <v>249</v>
      </c>
      <c r="D22" s="320" t="s">
        <v>250</v>
      </c>
      <c r="E22" s="322">
        <v>211517767.4793154</v>
      </c>
      <c r="F22" s="326"/>
      <c r="G22" s="326"/>
      <c r="H22" s="326"/>
      <c r="I22" s="326"/>
      <c r="J22" s="326"/>
      <c r="K22" s="326"/>
      <c r="L22" s="326"/>
      <c r="M22" s="326"/>
      <c r="N22" s="326"/>
      <c r="O22" s="326"/>
      <c r="P22" s="326"/>
      <c r="Q22" s="326"/>
    </row>
    <row r="23" spans="1:17" x14ac:dyDescent="0.35">
      <c r="A23" s="323"/>
      <c r="B23" s="323" t="s">
        <v>255</v>
      </c>
      <c r="C23" s="324">
        <v>3100</v>
      </c>
      <c r="D23" s="324">
        <v>3100</v>
      </c>
      <c r="E23" s="325">
        <v>148800</v>
      </c>
      <c r="F23" s="326">
        <v>12400</v>
      </c>
      <c r="G23" s="326">
        <v>12400</v>
      </c>
      <c r="H23" s="326">
        <v>12400</v>
      </c>
      <c r="I23" s="326">
        <v>12400</v>
      </c>
      <c r="J23" s="326">
        <v>12400</v>
      </c>
      <c r="K23" s="326">
        <v>12400</v>
      </c>
      <c r="L23" s="326">
        <v>12400</v>
      </c>
      <c r="M23" s="326">
        <v>12400</v>
      </c>
      <c r="N23" s="326">
        <v>12400</v>
      </c>
      <c r="O23" s="326">
        <v>12400</v>
      </c>
      <c r="P23" s="326">
        <v>12400</v>
      </c>
      <c r="Q23" s="326">
        <v>12400</v>
      </c>
    </row>
    <row r="24" spans="1:17" x14ac:dyDescent="0.35">
      <c r="A24" s="323"/>
      <c r="B24" s="323" t="s">
        <v>289</v>
      </c>
      <c r="C24" s="324">
        <v>42.237936000000005</v>
      </c>
      <c r="D24" s="324">
        <v>42.237936000000005</v>
      </c>
      <c r="E24" s="325">
        <v>18013640.013832323</v>
      </c>
      <c r="F24" s="326">
        <v>1513388.6259148803</v>
      </c>
      <c r="G24" s="326">
        <v>1513388.6259148803</v>
      </c>
      <c r="H24" s="326">
        <v>1513388.6259148803</v>
      </c>
      <c r="I24" s="326">
        <v>1513388.6259148803</v>
      </c>
      <c r="J24" s="326">
        <v>1528107.70185216</v>
      </c>
      <c r="K24" s="326">
        <v>1527104.1284928003</v>
      </c>
      <c r="L24" s="326">
        <v>1527104.1284928003</v>
      </c>
      <c r="M24" s="326">
        <v>1462206.3845875203</v>
      </c>
      <c r="N24" s="326">
        <v>1471907.5937280001</v>
      </c>
      <c r="O24" s="326">
        <v>1471907.5937280001</v>
      </c>
      <c r="P24" s="326">
        <v>1479434.3939232</v>
      </c>
      <c r="Q24" s="326">
        <v>1492313.5853683203</v>
      </c>
    </row>
    <row r="25" spans="1:17" x14ac:dyDescent="0.35">
      <c r="A25" s="323"/>
      <c r="B25" s="323" t="s">
        <v>290</v>
      </c>
      <c r="C25" s="324">
        <v>114.6366</v>
      </c>
      <c r="D25" s="324">
        <v>114.6366</v>
      </c>
      <c r="E25" s="325">
        <v>41412132.425664008</v>
      </c>
      <c r="F25" s="326">
        <v>4047061.74444</v>
      </c>
      <c r="G25" s="326">
        <v>3771053.495352</v>
      </c>
      <c r="H25" s="326">
        <v>3318908.4030960002</v>
      </c>
      <c r="I25" s="326">
        <v>3225846.4112159996</v>
      </c>
      <c r="J25" s="326">
        <v>3274874.1923039998</v>
      </c>
      <c r="K25" s="326">
        <v>3167285.4504720001</v>
      </c>
      <c r="L25" s="326">
        <v>3175002.786384</v>
      </c>
      <c r="M25" s="326">
        <v>3469623.4338480001</v>
      </c>
      <c r="N25" s="326">
        <v>3249452.379888</v>
      </c>
      <c r="O25" s="326">
        <v>3302565.8094000001</v>
      </c>
      <c r="P25" s="326">
        <v>3419687.7308880002</v>
      </c>
      <c r="Q25" s="326">
        <v>3990770.5883760001</v>
      </c>
    </row>
    <row r="26" spans="1:17" x14ac:dyDescent="0.35">
      <c r="A26" s="323"/>
      <c r="B26" s="323" t="s">
        <v>234</v>
      </c>
      <c r="C26" s="324">
        <v>1.3454999999999999</v>
      </c>
      <c r="D26" s="324">
        <v>2.6479439999999999</v>
      </c>
      <c r="E26" s="325">
        <v>41032007.404708311</v>
      </c>
      <c r="F26" s="326">
        <v>7020607.1532854391</v>
      </c>
      <c r="G26" s="326">
        <v>5786704.7566099204</v>
      </c>
      <c r="H26" s="326">
        <v>5239038.8665929595</v>
      </c>
      <c r="I26" s="326">
        <v>2737901.2775399997</v>
      </c>
      <c r="J26" s="326">
        <v>2581279.4264399996</v>
      </c>
      <c r="K26" s="326">
        <v>1940874.8158800001</v>
      </c>
      <c r="L26" s="326">
        <v>2217849.5968200001</v>
      </c>
      <c r="M26" s="326">
        <v>2498847.1536599998</v>
      </c>
      <c r="N26" s="326">
        <v>2702682.0077399998</v>
      </c>
      <c r="O26" s="326">
        <v>2418237.1184399999</v>
      </c>
      <c r="P26" s="326">
        <v>2724271.7930999999</v>
      </c>
      <c r="Q26" s="326">
        <v>3163713.4386</v>
      </c>
    </row>
    <row r="27" spans="1:17" x14ac:dyDescent="0.35">
      <c r="A27" s="323"/>
      <c r="B27" s="323" t="s">
        <v>231</v>
      </c>
      <c r="C27" s="324">
        <v>0.88264799999999999</v>
      </c>
      <c r="D27" s="324">
        <v>1.3562640000000001</v>
      </c>
      <c r="E27" s="325">
        <v>59200581.728471056</v>
      </c>
      <c r="F27" s="326">
        <v>8396233.8524064012</v>
      </c>
      <c r="G27" s="326">
        <v>7229211.5383488014</v>
      </c>
      <c r="H27" s="326">
        <v>6495505.8071904005</v>
      </c>
      <c r="I27" s="326">
        <v>4394063.9426112007</v>
      </c>
      <c r="J27" s="326">
        <v>4109862.2314463998</v>
      </c>
      <c r="K27" s="326">
        <v>3068364.8476166399</v>
      </c>
      <c r="L27" s="326">
        <v>3665436.6063743997</v>
      </c>
      <c r="M27" s="326">
        <v>4118845.1166719999</v>
      </c>
      <c r="N27" s="326">
        <v>4326045.6754943999</v>
      </c>
      <c r="O27" s="326">
        <v>3835342.4627232002</v>
      </c>
      <c r="P27" s="326">
        <v>4486024.9193759998</v>
      </c>
      <c r="Q27" s="326">
        <v>5075644.7282111999</v>
      </c>
    </row>
    <row r="28" spans="1:17" x14ac:dyDescent="0.35">
      <c r="A28" s="323"/>
      <c r="B28" s="323" t="s">
        <v>285</v>
      </c>
      <c r="C28" s="324">
        <v>0.85896720000000004</v>
      </c>
      <c r="D28" s="324">
        <v>1.3019057999999999</v>
      </c>
      <c r="E28" s="325">
        <v>51710605.90663968</v>
      </c>
      <c r="F28" s="326">
        <v>6706799.4952015197</v>
      </c>
      <c r="G28" s="326">
        <v>6811817.9869396789</v>
      </c>
      <c r="H28" s="326">
        <v>5483594.4215738392</v>
      </c>
      <c r="I28" s="326">
        <v>3611859.4973260807</v>
      </c>
      <c r="J28" s="326">
        <v>3570429.10416192</v>
      </c>
      <c r="K28" s="326">
        <v>3066230.0632803841</v>
      </c>
      <c r="L28" s="326">
        <v>3322758.3498869762</v>
      </c>
      <c r="M28" s="326">
        <v>3228662.3756587203</v>
      </c>
      <c r="N28" s="326">
        <v>3597675.2001590403</v>
      </c>
      <c r="O28" s="326">
        <v>3699074.2165977601</v>
      </c>
      <c r="P28" s="326">
        <v>4271072.1570316805</v>
      </c>
      <c r="Q28" s="326">
        <v>4340633.0388220809</v>
      </c>
    </row>
    <row r="29" spans="1:17" x14ac:dyDescent="0.35">
      <c r="A29" s="319" t="s">
        <v>261</v>
      </c>
      <c r="B29" s="319"/>
      <c r="C29" s="320" t="s">
        <v>249</v>
      </c>
      <c r="D29" s="320" t="s">
        <v>250</v>
      </c>
      <c r="E29" s="322">
        <v>688357306.71005249</v>
      </c>
      <c r="F29" s="326"/>
      <c r="G29" s="326"/>
      <c r="H29" s="326"/>
      <c r="I29" s="326"/>
      <c r="J29" s="326"/>
      <c r="K29" s="326"/>
      <c r="L29" s="326"/>
      <c r="M29" s="326"/>
      <c r="N29" s="326"/>
      <c r="O29" s="326"/>
      <c r="P29" s="326"/>
      <c r="Q29" s="326"/>
    </row>
    <row r="30" spans="1:17" x14ac:dyDescent="0.35">
      <c r="A30" s="323"/>
      <c r="B30" s="323" t="s">
        <v>255</v>
      </c>
      <c r="C30" s="324">
        <v>2600</v>
      </c>
      <c r="D30" s="324">
        <v>2600</v>
      </c>
      <c r="E30" s="325">
        <v>4947800</v>
      </c>
      <c r="F30" s="326">
        <v>410800</v>
      </c>
      <c r="G30" s="326">
        <v>413400</v>
      </c>
      <c r="H30" s="326">
        <v>413400</v>
      </c>
      <c r="I30" s="326">
        <v>413400</v>
      </c>
      <c r="J30" s="326">
        <v>413400</v>
      </c>
      <c r="K30" s="326">
        <v>416000</v>
      </c>
      <c r="L30" s="326">
        <v>416000</v>
      </c>
      <c r="M30" s="326">
        <v>408200</v>
      </c>
      <c r="N30" s="326">
        <v>410800</v>
      </c>
      <c r="O30" s="326">
        <v>410800</v>
      </c>
      <c r="P30" s="326">
        <v>410800</v>
      </c>
      <c r="Q30" s="326">
        <v>410800</v>
      </c>
    </row>
    <row r="31" spans="1:17" x14ac:dyDescent="0.35">
      <c r="A31" s="323"/>
      <c r="B31" s="323" t="s">
        <v>289</v>
      </c>
      <c r="C31" s="324">
        <v>54.741398400000008</v>
      </c>
      <c r="D31" s="324">
        <v>54.741398400000008</v>
      </c>
      <c r="E31" s="325">
        <v>70902585.945281401</v>
      </c>
      <c r="F31" s="326">
        <v>5839726.984730497</v>
      </c>
      <c r="G31" s="326">
        <v>5842219.9080136335</v>
      </c>
      <c r="H31" s="326">
        <v>5842219.9080136335</v>
      </c>
      <c r="I31" s="326">
        <v>5876687.2821022086</v>
      </c>
      <c r="J31" s="326">
        <v>5911154.6561907846</v>
      </c>
      <c r="K31" s="326">
        <v>6026371.0670592003</v>
      </c>
      <c r="L31" s="326">
        <v>6035042.1045657611</v>
      </c>
      <c r="M31" s="326">
        <v>5913376.6095518405</v>
      </c>
      <c r="N31" s="326">
        <v>5908228.1810323214</v>
      </c>
      <c r="O31" s="326">
        <v>5899665.5314945932</v>
      </c>
      <c r="P31" s="326">
        <v>5891102.8819568651</v>
      </c>
      <c r="Q31" s="326">
        <v>5916790.8305700496</v>
      </c>
    </row>
    <row r="32" spans="1:17" x14ac:dyDescent="0.35">
      <c r="A32" s="323"/>
      <c r="B32" s="323" t="s">
        <v>290</v>
      </c>
      <c r="C32" s="324">
        <v>160.94978640000002</v>
      </c>
      <c r="D32" s="324">
        <v>160.94978640000002</v>
      </c>
      <c r="E32" s="325">
        <v>173496398.45011532</v>
      </c>
      <c r="F32" s="326">
        <v>14249483.323197411</v>
      </c>
      <c r="G32" s="326">
        <v>14187659.291245442</v>
      </c>
      <c r="H32" s="326">
        <v>14060983.761859324</v>
      </c>
      <c r="I32" s="326">
        <v>14441010.350017682</v>
      </c>
      <c r="J32" s="326">
        <v>14593020.985281026</v>
      </c>
      <c r="K32" s="326">
        <v>14965239.899301121</v>
      </c>
      <c r="L32" s="326">
        <v>15245678.807124481</v>
      </c>
      <c r="M32" s="326">
        <v>15435134.410193786</v>
      </c>
      <c r="N32" s="326">
        <v>14350186.385552162</v>
      </c>
      <c r="O32" s="326">
        <v>14199131.792020034</v>
      </c>
      <c r="P32" s="326">
        <v>13544561.886714146</v>
      </c>
      <c r="Q32" s="326">
        <v>14224307.557608724</v>
      </c>
    </row>
    <row r="33" spans="1:17" x14ac:dyDescent="0.35">
      <c r="A33" s="323"/>
      <c r="B33" s="323" t="s">
        <v>234</v>
      </c>
      <c r="C33" s="324">
        <v>1.4100840000000001</v>
      </c>
      <c r="D33" s="324">
        <v>2.7771120000000002</v>
      </c>
      <c r="E33" s="325">
        <v>112787877.19131505</v>
      </c>
      <c r="F33" s="326">
        <v>16800694.244231042</v>
      </c>
      <c r="G33" s="326">
        <v>14201098.964601122</v>
      </c>
      <c r="H33" s="326">
        <v>14186236.02780384</v>
      </c>
      <c r="I33" s="326">
        <v>7921133.7139162794</v>
      </c>
      <c r="J33" s="326">
        <v>7564663.8300776416</v>
      </c>
      <c r="K33" s="326">
        <v>7871111.4493439998</v>
      </c>
      <c r="L33" s="326">
        <v>7462144.2227903996</v>
      </c>
      <c r="M33" s="326">
        <v>7448251.3983820798</v>
      </c>
      <c r="N33" s="326">
        <v>7972995.8842934407</v>
      </c>
      <c r="O33" s="326">
        <v>6606152.4767752802</v>
      </c>
      <c r="P33" s="326">
        <v>7007140.2635863209</v>
      </c>
      <c r="Q33" s="326">
        <v>7746254.715513601</v>
      </c>
    </row>
    <row r="34" spans="1:17" x14ac:dyDescent="0.35">
      <c r="A34" s="323"/>
      <c r="B34" s="323" t="s">
        <v>231</v>
      </c>
      <c r="C34" s="324">
        <v>0.93035146464000007</v>
      </c>
      <c r="D34" s="324">
        <v>1.4208480000000001</v>
      </c>
      <c r="E34" s="325">
        <v>179082493.7108238</v>
      </c>
      <c r="F34" s="326">
        <v>21420585.125184964</v>
      </c>
      <c r="G34" s="326">
        <v>19339730.62349328</v>
      </c>
      <c r="H34" s="326">
        <v>19310655.384614881</v>
      </c>
      <c r="I34" s="326">
        <v>14176179.654565549</v>
      </c>
      <c r="J34" s="326">
        <v>13201138.03164742</v>
      </c>
      <c r="K34" s="326">
        <v>13660393.723617081</v>
      </c>
      <c r="L34" s="326">
        <v>13426226.492810706</v>
      </c>
      <c r="M34" s="326">
        <v>13204851.696981795</v>
      </c>
      <c r="N34" s="326">
        <v>13889979.661920184</v>
      </c>
      <c r="O34" s="326">
        <v>11714808.8759686</v>
      </c>
      <c r="P34" s="326">
        <v>12443018.85876794</v>
      </c>
      <c r="Q34" s="326">
        <v>13294925.581251418</v>
      </c>
    </row>
    <row r="35" spans="1:17" x14ac:dyDescent="0.35">
      <c r="A35" s="323"/>
      <c r="B35" s="323" t="s">
        <v>285</v>
      </c>
      <c r="C35" s="324">
        <v>0.82624463999999997</v>
      </c>
      <c r="D35" s="324">
        <v>1.3024439999999999</v>
      </c>
      <c r="E35" s="325">
        <v>147140151.41251689</v>
      </c>
      <c r="F35" s="326">
        <v>16221253.944598559</v>
      </c>
      <c r="G35" s="326">
        <v>17588879.379751679</v>
      </c>
      <c r="H35" s="326">
        <v>15874726.30610724</v>
      </c>
      <c r="I35" s="326">
        <v>10442320.602370113</v>
      </c>
      <c r="J35" s="326">
        <v>10411626.638537467</v>
      </c>
      <c r="K35" s="326">
        <v>11605007.854192894</v>
      </c>
      <c r="L35" s="326">
        <v>11849486.372216064</v>
      </c>
      <c r="M35" s="326">
        <v>9917353.5362149235</v>
      </c>
      <c r="N35" s="326">
        <v>10675451.253421469</v>
      </c>
      <c r="O35" s="326">
        <v>10896324.441301728</v>
      </c>
      <c r="P35" s="326">
        <v>11235065.591350975</v>
      </c>
      <c r="Q35" s="326">
        <v>10422655.492453774</v>
      </c>
    </row>
    <row r="36" spans="1:17" x14ac:dyDescent="0.35">
      <c r="A36" s="319" t="s">
        <v>267</v>
      </c>
      <c r="B36" s="319"/>
      <c r="C36" s="320" t="s">
        <v>249</v>
      </c>
      <c r="D36" s="320" t="s">
        <v>250</v>
      </c>
      <c r="E36" s="322">
        <v>296845198.17364198</v>
      </c>
      <c r="F36" s="326"/>
      <c r="G36" s="326"/>
      <c r="H36" s="326"/>
      <c r="I36" s="326"/>
      <c r="J36" s="326"/>
      <c r="K36" s="326"/>
      <c r="L36" s="326"/>
      <c r="M36" s="326"/>
      <c r="N36" s="326"/>
      <c r="O36" s="326"/>
      <c r="P36" s="326"/>
      <c r="Q36" s="326"/>
    </row>
    <row r="37" spans="1:17" x14ac:dyDescent="0.35">
      <c r="A37" s="323"/>
      <c r="B37" s="323" t="s">
        <v>255</v>
      </c>
      <c r="C37" s="324">
        <v>2000</v>
      </c>
      <c r="D37" s="324">
        <v>2000</v>
      </c>
      <c r="E37" s="325">
        <v>11794000</v>
      </c>
      <c r="F37" s="326">
        <v>972000</v>
      </c>
      <c r="G37" s="326">
        <v>966000</v>
      </c>
      <c r="H37" s="326">
        <v>968000</v>
      </c>
      <c r="I37" s="326">
        <v>970000</v>
      </c>
      <c r="J37" s="326">
        <v>970000</v>
      </c>
      <c r="K37" s="326">
        <v>974000</v>
      </c>
      <c r="L37" s="326">
        <v>974000</v>
      </c>
      <c r="M37" s="326">
        <v>998000</v>
      </c>
      <c r="N37" s="326">
        <v>1002000</v>
      </c>
      <c r="O37" s="326">
        <v>998000</v>
      </c>
      <c r="P37" s="326">
        <v>1000000</v>
      </c>
      <c r="Q37" s="326">
        <v>1002000</v>
      </c>
    </row>
    <row r="38" spans="1:17" x14ac:dyDescent="0.35">
      <c r="A38" s="323"/>
      <c r="B38" s="323" t="s">
        <v>289</v>
      </c>
      <c r="C38" s="324">
        <v>47.662992000000003</v>
      </c>
      <c r="D38" s="324">
        <v>47.662992000000003</v>
      </c>
      <c r="E38" s="325">
        <v>30280101.969443038</v>
      </c>
      <c r="F38" s="326">
        <v>2499650.3448259202</v>
      </c>
      <c r="G38" s="326">
        <v>2507011.4173104004</v>
      </c>
      <c r="H38" s="326">
        <v>2512201.9171392005</v>
      </c>
      <c r="I38" s="326">
        <v>2494507.0313591999</v>
      </c>
      <c r="J38" s="326">
        <v>2494507.0313591999</v>
      </c>
      <c r="K38" s="326">
        <v>2527773.4166256003</v>
      </c>
      <c r="L38" s="326">
        <v>2527773.4166256003</v>
      </c>
      <c r="M38" s="326">
        <v>2542967.4252153602</v>
      </c>
      <c r="N38" s="326">
        <v>2553159.6794246403</v>
      </c>
      <c r="O38" s="326">
        <v>2542967.4252153602</v>
      </c>
      <c r="P38" s="326">
        <v>2548063.5523200002</v>
      </c>
      <c r="Q38" s="326">
        <v>2529519.3120225603</v>
      </c>
    </row>
    <row r="39" spans="1:17" x14ac:dyDescent="0.35">
      <c r="A39" s="323"/>
      <c r="B39" s="323" t="s">
        <v>290</v>
      </c>
      <c r="C39" s="324">
        <v>171.25057272960004</v>
      </c>
      <c r="D39" s="324">
        <v>171.25057272960004</v>
      </c>
      <c r="E39" s="325">
        <v>85772020.705537647</v>
      </c>
      <c r="F39" s="326">
        <v>7662781.5523701375</v>
      </c>
      <c r="G39" s="326">
        <v>7533593.5453143828</v>
      </c>
      <c r="H39" s="326">
        <v>6810683.2276165588</v>
      </c>
      <c r="I39" s="326">
        <v>7071432.7746661017</v>
      </c>
      <c r="J39" s="326">
        <v>7071432.7746661017</v>
      </c>
      <c r="K39" s="326">
        <v>7348288.438080864</v>
      </c>
      <c r="L39" s="326">
        <v>7348288.438080864</v>
      </c>
      <c r="M39" s="326">
        <v>7444755.5982051753</v>
      </c>
      <c r="N39" s="326">
        <v>6880024.2970204996</v>
      </c>
      <c r="O39" s="326">
        <v>6598760.643863678</v>
      </c>
      <c r="P39" s="326">
        <v>6442446.5460875528</v>
      </c>
      <c r="Q39" s="326">
        <v>7559532.8695657346</v>
      </c>
    </row>
    <row r="40" spans="1:17" x14ac:dyDescent="0.35">
      <c r="A40" s="323"/>
      <c r="B40" s="323" t="s">
        <v>234</v>
      </c>
      <c r="C40" s="324">
        <v>1.4100840000000001</v>
      </c>
      <c r="D40" s="324">
        <v>2.7663479999999998</v>
      </c>
      <c r="E40" s="325">
        <v>46107038.166738123</v>
      </c>
      <c r="F40" s="326">
        <v>7397701.7612097599</v>
      </c>
      <c r="G40" s="326">
        <v>5993537.1275379593</v>
      </c>
      <c r="H40" s="326">
        <v>5755422.2019465594</v>
      </c>
      <c r="I40" s="326">
        <v>3182143.6132200006</v>
      </c>
      <c r="J40" s="326">
        <v>3048764.4021978006</v>
      </c>
      <c r="K40" s="326">
        <v>3030063.8117864402</v>
      </c>
      <c r="L40" s="326">
        <v>2980435.2144652801</v>
      </c>
      <c r="M40" s="326">
        <v>2920128.7419532798</v>
      </c>
      <c r="N40" s="326">
        <v>3057023.0385723603</v>
      </c>
      <c r="O40" s="326">
        <v>2576010.5171143203</v>
      </c>
      <c r="P40" s="326">
        <v>2794060.2947400003</v>
      </c>
      <c r="Q40" s="326">
        <v>3371747.4419943602</v>
      </c>
    </row>
    <row r="41" spans="1:17" x14ac:dyDescent="0.35">
      <c r="A41" s="323"/>
      <c r="B41" s="323" t="s">
        <v>231</v>
      </c>
      <c r="C41" s="324">
        <v>0.94421807999999996</v>
      </c>
      <c r="D41" s="324">
        <v>1.4208480000000001</v>
      </c>
      <c r="E41" s="325">
        <v>70384768.156881928</v>
      </c>
      <c r="F41" s="326">
        <v>8893301.1286204811</v>
      </c>
      <c r="G41" s="326">
        <v>7678656.6499843197</v>
      </c>
      <c r="H41" s="326">
        <v>7492352.8721184013</v>
      </c>
      <c r="I41" s="326">
        <v>5592726.8138776319</v>
      </c>
      <c r="J41" s="326">
        <v>5226860.2008102471</v>
      </c>
      <c r="K41" s="326">
        <v>5141889.0715729678</v>
      </c>
      <c r="L41" s="326">
        <v>5262071.339381313</v>
      </c>
      <c r="M41" s="326">
        <v>5139381.0678354148</v>
      </c>
      <c r="N41" s="326">
        <v>5287363.5708859684</v>
      </c>
      <c r="O41" s="326">
        <v>4422908.9930309849</v>
      </c>
      <c r="P41" s="326">
        <v>4739781.1968936007</v>
      </c>
      <c r="Q41" s="326">
        <v>5507475.2518705912</v>
      </c>
    </row>
    <row r="42" spans="1:17" x14ac:dyDescent="0.35">
      <c r="A42" s="323"/>
      <c r="B42" s="323" t="s">
        <v>285</v>
      </c>
      <c r="C42" s="324">
        <v>0.81644939999999999</v>
      </c>
      <c r="D42" s="324">
        <v>1.2916799999999999</v>
      </c>
      <c r="E42" s="325">
        <v>52507269.175041243</v>
      </c>
      <c r="F42" s="326">
        <v>6108516.2575007994</v>
      </c>
      <c r="G42" s="326">
        <v>6480306.4277951997</v>
      </c>
      <c r="H42" s="326">
        <v>5789390.6708351988</v>
      </c>
      <c r="I42" s="326">
        <v>3769254.7950271503</v>
      </c>
      <c r="J42" s="326">
        <v>3726916.8316508699</v>
      </c>
      <c r="K42" s="326">
        <v>4075694.1934445873</v>
      </c>
      <c r="L42" s="326">
        <v>4187486.462223636</v>
      </c>
      <c r="M42" s="326">
        <v>3349690.2660206701</v>
      </c>
      <c r="N42" s="326">
        <v>3644556.6411540001</v>
      </c>
      <c r="O42" s="326">
        <v>3748184.4240975422</v>
      </c>
      <c r="P42" s="326">
        <v>3834503.5940640005</v>
      </c>
      <c r="Q42" s="326">
        <v>3792768.6112275962</v>
      </c>
    </row>
    <row r="43" spans="1:17" x14ac:dyDescent="0.35">
      <c r="A43" s="319" t="s">
        <v>291</v>
      </c>
      <c r="B43" s="319"/>
      <c r="C43" s="320" t="s">
        <v>249</v>
      </c>
      <c r="D43" s="320" t="s">
        <v>250</v>
      </c>
      <c r="E43" s="322">
        <v>45117561.908411458</v>
      </c>
      <c r="F43" s="326"/>
      <c r="G43" s="326"/>
      <c r="H43" s="326"/>
      <c r="I43" s="326"/>
      <c r="J43" s="326"/>
      <c r="K43" s="326"/>
      <c r="L43" s="326"/>
      <c r="M43" s="326"/>
      <c r="N43" s="326"/>
      <c r="O43" s="326"/>
      <c r="P43" s="326"/>
      <c r="Q43" s="326"/>
    </row>
    <row r="44" spans="1:17" x14ac:dyDescent="0.35">
      <c r="A44" s="323"/>
      <c r="B44" s="323" t="s">
        <v>255</v>
      </c>
      <c r="C44" s="324">
        <v>2200</v>
      </c>
      <c r="D44" s="324">
        <v>2200</v>
      </c>
      <c r="E44" s="325">
        <v>723800</v>
      </c>
      <c r="F44" s="326">
        <v>59400</v>
      </c>
      <c r="G44" s="326">
        <v>59400</v>
      </c>
      <c r="H44" s="326">
        <v>59400</v>
      </c>
      <c r="I44" s="326">
        <v>61600</v>
      </c>
      <c r="J44" s="326">
        <v>61600</v>
      </c>
      <c r="K44" s="326">
        <v>61600</v>
      </c>
      <c r="L44" s="326">
        <v>63800</v>
      </c>
      <c r="M44" s="326">
        <v>59400</v>
      </c>
      <c r="N44" s="326">
        <v>59400</v>
      </c>
      <c r="O44" s="326">
        <v>59400</v>
      </c>
      <c r="P44" s="326">
        <v>59400</v>
      </c>
      <c r="Q44" s="326">
        <v>59400</v>
      </c>
    </row>
    <row r="45" spans="1:17" x14ac:dyDescent="0.35">
      <c r="A45" s="323"/>
      <c r="B45" s="323" t="s">
        <v>290</v>
      </c>
      <c r="C45" s="324">
        <v>49.525163999999997</v>
      </c>
      <c r="D45" s="324">
        <v>49.525163999999997</v>
      </c>
      <c r="E45" s="325">
        <v>4530069.7225898392</v>
      </c>
      <c r="F45" s="326">
        <v>481865.97867407999</v>
      </c>
      <c r="G45" s="326">
        <v>454066.01836595993</v>
      </c>
      <c r="H45" s="326">
        <v>391847.05958112003</v>
      </c>
      <c r="I45" s="326">
        <v>329481.01105919998</v>
      </c>
      <c r="J45" s="326">
        <v>334972.36124351999</v>
      </c>
      <c r="K45" s="326">
        <v>308888.44786800002</v>
      </c>
      <c r="L45" s="326">
        <v>359732.46698531997</v>
      </c>
      <c r="M45" s="326">
        <v>352132.83056951995</v>
      </c>
      <c r="N45" s="326">
        <v>329628.10079627996</v>
      </c>
      <c r="O45" s="326">
        <v>358751.86873812001</v>
      </c>
      <c r="P45" s="326">
        <v>358751.86873812001</v>
      </c>
      <c r="Q45" s="326">
        <v>469951.70997059997</v>
      </c>
    </row>
    <row r="46" spans="1:17" x14ac:dyDescent="0.35">
      <c r="A46" s="323"/>
      <c r="B46" s="323" t="s">
        <v>234</v>
      </c>
      <c r="C46" s="324">
        <v>1.4712235200000001</v>
      </c>
      <c r="D46" s="324">
        <v>2.26044</v>
      </c>
      <c r="E46" s="325">
        <v>10347262.028912952</v>
      </c>
      <c r="F46" s="326">
        <v>1631019.6230328002</v>
      </c>
      <c r="G46" s="326">
        <v>1358216.2742148</v>
      </c>
      <c r="H46" s="326">
        <v>1200093.0485544</v>
      </c>
      <c r="I46" s="326">
        <v>729514.06815006724</v>
      </c>
      <c r="J46" s="326">
        <v>686407.16016512644</v>
      </c>
      <c r="K46" s="326">
        <v>577028.9887217856</v>
      </c>
      <c r="L46" s="326">
        <v>609379.56086847838</v>
      </c>
      <c r="M46" s="326">
        <v>585049.99636717921</v>
      </c>
      <c r="N46" s="326">
        <v>655915.09641783847</v>
      </c>
      <c r="O46" s="326">
        <v>615763.44982975686</v>
      </c>
      <c r="P46" s="326">
        <v>728943.11572642566</v>
      </c>
      <c r="Q46" s="326">
        <v>969931.64686429442</v>
      </c>
    </row>
    <row r="47" spans="1:17" x14ac:dyDescent="0.35">
      <c r="A47" s="323"/>
      <c r="B47" s="323" t="s">
        <v>231</v>
      </c>
      <c r="C47" s="324">
        <v>1.044108</v>
      </c>
      <c r="D47" s="324">
        <v>1.3724099999999999</v>
      </c>
      <c r="E47" s="325">
        <v>15204653.43556302</v>
      </c>
      <c r="F47" s="326">
        <v>2013649.9488962996</v>
      </c>
      <c r="G47" s="326">
        <v>1784885.2865414999</v>
      </c>
      <c r="H47" s="326">
        <v>1554506.5053374998</v>
      </c>
      <c r="I47" s="326">
        <v>1177301.1405355202</v>
      </c>
      <c r="J47" s="326">
        <v>1093251.61593648</v>
      </c>
      <c r="K47" s="326">
        <v>991865.42975520017</v>
      </c>
      <c r="L47" s="326">
        <v>1064549.78656884</v>
      </c>
      <c r="M47" s="326">
        <v>964479.45837671997</v>
      </c>
      <c r="N47" s="326">
        <v>1007236.0568556</v>
      </c>
      <c r="O47" s="326">
        <v>955409.03115372011</v>
      </c>
      <c r="P47" s="326">
        <v>1131961.4084235597</v>
      </c>
      <c r="Q47" s="326">
        <v>1465557.7671820798</v>
      </c>
    </row>
    <row r="48" spans="1:17" x14ac:dyDescent="0.35">
      <c r="A48" s="323"/>
      <c r="B48" s="323" t="s">
        <v>285</v>
      </c>
      <c r="C48" s="324">
        <v>0.8718840000000001</v>
      </c>
      <c r="D48" s="324">
        <v>1.2937251599999999</v>
      </c>
      <c r="E48" s="325">
        <v>14311776.721345648</v>
      </c>
      <c r="F48" s="326">
        <v>1837683.4564876785</v>
      </c>
      <c r="G48" s="326">
        <v>1925312.4036045899</v>
      </c>
      <c r="H48" s="326">
        <v>1522682.6359320576</v>
      </c>
      <c r="I48" s="326">
        <v>987505.82762831997</v>
      </c>
      <c r="J48" s="326">
        <v>968702.63778288011</v>
      </c>
      <c r="K48" s="326">
        <v>984218.89469903999</v>
      </c>
      <c r="L48" s="326">
        <v>1066980.0334050001</v>
      </c>
      <c r="M48" s="326">
        <v>818161.45488792018</v>
      </c>
      <c r="N48" s="326">
        <v>904135.2943194001</v>
      </c>
      <c r="O48" s="326">
        <v>977058.07653168007</v>
      </c>
      <c r="P48" s="326">
        <v>1073379.5399012403</v>
      </c>
      <c r="Q48" s="326">
        <v>1245956.4661658399</v>
      </c>
    </row>
    <row r="49" spans="1:17" x14ac:dyDescent="0.35">
      <c r="A49" s="319" t="s">
        <v>292</v>
      </c>
      <c r="B49" s="319"/>
      <c r="C49" s="320" t="s">
        <v>249</v>
      </c>
      <c r="D49" s="320" t="s">
        <v>250</v>
      </c>
      <c r="E49" s="322">
        <v>61002968.200170189</v>
      </c>
      <c r="F49" s="326"/>
      <c r="G49" s="326"/>
      <c r="H49" s="326"/>
      <c r="I49" s="326"/>
      <c r="J49" s="326"/>
      <c r="K49" s="326"/>
      <c r="L49" s="326"/>
      <c r="M49" s="326"/>
      <c r="N49" s="326"/>
      <c r="O49" s="326"/>
      <c r="P49" s="326"/>
      <c r="Q49" s="326"/>
    </row>
    <row r="50" spans="1:17" x14ac:dyDescent="0.35">
      <c r="A50" s="323"/>
      <c r="B50" s="323" t="s">
        <v>255</v>
      </c>
      <c r="C50" s="324">
        <v>2400</v>
      </c>
      <c r="D50" s="324">
        <v>2400</v>
      </c>
      <c r="E50" s="325">
        <v>5174400</v>
      </c>
      <c r="F50" s="326">
        <v>427200</v>
      </c>
      <c r="G50" s="326">
        <v>429600</v>
      </c>
      <c r="H50" s="326">
        <v>429600</v>
      </c>
      <c r="I50" s="326">
        <v>427200</v>
      </c>
      <c r="J50" s="326">
        <v>427200</v>
      </c>
      <c r="K50" s="326">
        <v>427200</v>
      </c>
      <c r="L50" s="326">
        <v>429600</v>
      </c>
      <c r="M50" s="326">
        <v>434400</v>
      </c>
      <c r="N50" s="326">
        <v>432000</v>
      </c>
      <c r="O50" s="326">
        <v>432000</v>
      </c>
      <c r="P50" s="326">
        <v>436800</v>
      </c>
      <c r="Q50" s="326">
        <v>441600</v>
      </c>
    </row>
    <row r="51" spans="1:17" x14ac:dyDescent="0.35">
      <c r="A51" s="323"/>
      <c r="B51" s="323" t="s">
        <v>290</v>
      </c>
      <c r="C51" s="324">
        <v>11.9</v>
      </c>
      <c r="D51" s="324">
        <v>11.9</v>
      </c>
      <c r="E51" s="325">
        <v>1740913.7129999998</v>
      </c>
      <c r="F51" s="326">
        <v>186634.60200000001</v>
      </c>
      <c r="G51" s="326">
        <v>179247.91500000001</v>
      </c>
      <c r="H51" s="326">
        <v>147615.93</v>
      </c>
      <c r="I51" s="326">
        <v>127918.09800000001</v>
      </c>
      <c r="J51" s="326">
        <v>125821.08</v>
      </c>
      <c r="K51" s="326">
        <v>102753.882</v>
      </c>
      <c r="L51" s="326">
        <v>124419.14099999999</v>
      </c>
      <c r="M51" s="326">
        <v>138603.465</v>
      </c>
      <c r="N51" s="326">
        <v>131475.96</v>
      </c>
      <c r="O51" s="326">
        <v>142078.85999999999</v>
      </c>
      <c r="P51" s="326">
        <v>150089.94</v>
      </c>
      <c r="Q51" s="326">
        <v>184254.84000000003</v>
      </c>
    </row>
    <row r="52" spans="1:17" x14ac:dyDescent="0.35">
      <c r="A52" s="323"/>
      <c r="B52" s="323" t="s">
        <v>234</v>
      </c>
      <c r="C52" s="324">
        <v>1.5177239999999999</v>
      </c>
      <c r="D52" s="324">
        <v>2.1409596</v>
      </c>
      <c r="E52" s="325">
        <v>13020864.363663157</v>
      </c>
      <c r="F52" s="326">
        <v>1978455.7993337282</v>
      </c>
      <c r="G52" s="326">
        <v>1651146.4095160316</v>
      </c>
      <c r="H52" s="326">
        <v>1430715.3286500359</v>
      </c>
      <c r="I52" s="326">
        <v>886875.21999647992</v>
      </c>
      <c r="J52" s="326">
        <v>811453.38283151994</v>
      </c>
      <c r="K52" s="326">
        <v>622898.78991911991</v>
      </c>
      <c r="L52" s="326">
        <v>684492.68925179995</v>
      </c>
      <c r="M52" s="326">
        <v>794941.8964858799</v>
      </c>
      <c r="N52" s="326">
        <v>900626.52794399997</v>
      </c>
      <c r="O52" s="326">
        <v>865196.4753431998</v>
      </c>
      <c r="P52" s="326">
        <v>1045724.4634636799</v>
      </c>
      <c r="Q52" s="326">
        <v>1348337.3809276796</v>
      </c>
    </row>
    <row r="53" spans="1:17" x14ac:dyDescent="0.35">
      <c r="A53" s="323"/>
      <c r="B53" s="323" t="s">
        <v>231</v>
      </c>
      <c r="C53" s="324">
        <v>1.2393669599999999</v>
      </c>
      <c r="D53" s="324">
        <v>1.7908066800000002</v>
      </c>
      <c r="E53" s="325">
        <v>22789259.969472453</v>
      </c>
      <c r="F53" s="326">
        <v>3279780.881083793</v>
      </c>
      <c r="G53" s="326">
        <v>2923734.9712906773</v>
      </c>
      <c r="H53" s="326">
        <v>2475638.3926016032</v>
      </c>
      <c r="I53" s="326">
        <v>1573580.9752050957</v>
      </c>
      <c r="J53" s="326">
        <v>1449747.4688981853</v>
      </c>
      <c r="K53" s="326">
        <v>1175217.1030643471</v>
      </c>
      <c r="L53" s="326">
        <v>1319306.7114224711</v>
      </c>
      <c r="M53" s="326">
        <v>1458635.6634138431</v>
      </c>
      <c r="N53" s="326">
        <v>1544661.2147503679</v>
      </c>
      <c r="O53" s="326">
        <v>1492760.2445664478</v>
      </c>
      <c r="P53" s="326">
        <v>1812376.9709293249</v>
      </c>
      <c r="Q53" s="326">
        <v>2283819.3722462975</v>
      </c>
    </row>
    <row r="54" spans="1:17" x14ac:dyDescent="0.35">
      <c r="A54" s="323"/>
      <c r="B54" s="323" t="s">
        <v>285</v>
      </c>
      <c r="C54" s="324">
        <v>0.89341199999999998</v>
      </c>
      <c r="D54" s="324">
        <v>1.2475475999999999</v>
      </c>
      <c r="E54" s="325">
        <v>18277530.154034577</v>
      </c>
      <c r="F54" s="326">
        <v>2315164.9277362321</v>
      </c>
      <c r="G54" s="326">
        <v>2428540.8435030594</v>
      </c>
      <c r="H54" s="326">
        <v>1885352.4181514876</v>
      </c>
      <c r="I54" s="326">
        <v>1200457.6026299999</v>
      </c>
      <c r="J54" s="326">
        <v>1186918.0152429598</v>
      </c>
      <c r="K54" s="326">
        <v>1086158.2951533601</v>
      </c>
      <c r="L54" s="326">
        <v>1209101.6049512399</v>
      </c>
      <c r="M54" s="326">
        <v>1104944.6053245598</v>
      </c>
      <c r="N54" s="326">
        <v>1238304.4111152</v>
      </c>
      <c r="O54" s="326">
        <v>1349748.6239951998</v>
      </c>
      <c r="P54" s="326">
        <v>1534896.3786155998</v>
      </c>
      <c r="Q54" s="326">
        <v>1737942.4276156798</v>
      </c>
    </row>
    <row r="55" spans="1:17" x14ac:dyDescent="0.35">
      <c r="A55" s="319" t="s">
        <v>275</v>
      </c>
      <c r="B55" s="319"/>
      <c r="C55" s="320" t="s">
        <v>249</v>
      </c>
      <c r="D55" s="320" t="s">
        <v>250</v>
      </c>
      <c r="E55" s="322">
        <v>10896827.94944177</v>
      </c>
      <c r="F55" s="326"/>
      <c r="G55" s="326"/>
      <c r="H55" s="326"/>
      <c r="I55" s="326"/>
      <c r="J55" s="326"/>
      <c r="K55" s="326"/>
      <c r="L55" s="326"/>
      <c r="M55" s="326"/>
      <c r="N55" s="326"/>
      <c r="O55" s="326"/>
      <c r="P55" s="326"/>
      <c r="Q55" s="326"/>
    </row>
    <row r="56" spans="1:17" x14ac:dyDescent="0.35">
      <c r="A56" s="323"/>
      <c r="B56" s="323" t="s">
        <v>234</v>
      </c>
      <c r="C56" s="324">
        <v>2.3392109519999997</v>
      </c>
      <c r="D56" s="324">
        <v>4.1911872911999994</v>
      </c>
      <c r="E56" s="325">
        <v>2613399.3439123277</v>
      </c>
      <c r="F56" s="326">
        <v>331605.94215415861</v>
      </c>
      <c r="G56" s="326">
        <v>288938.94302790315</v>
      </c>
      <c r="H56" s="326">
        <v>340406.55531634745</v>
      </c>
      <c r="I56" s="326">
        <v>177215.7211019395</v>
      </c>
      <c r="J56" s="326">
        <v>162366.69068395774</v>
      </c>
      <c r="K56" s="326">
        <v>186131.6236454875</v>
      </c>
      <c r="L56" s="326">
        <v>148976.6261367384</v>
      </c>
      <c r="M56" s="326">
        <v>160124.9780444371</v>
      </c>
      <c r="N56" s="326">
        <v>182653.26374408253</v>
      </c>
      <c r="O56" s="326">
        <v>184450.33916584702</v>
      </c>
      <c r="P56" s="326">
        <v>227487.51653449531</v>
      </c>
      <c r="Q56" s="326">
        <v>223041.14435693374</v>
      </c>
    </row>
    <row r="57" spans="1:17" x14ac:dyDescent="0.35">
      <c r="A57" s="323"/>
      <c r="B57" s="323" t="s">
        <v>231</v>
      </c>
      <c r="C57" s="324">
        <v>1.4786722079999999</v>
      </c>
      <c r="D57" s="324">
        <v>2.2689134207999997</v>
      </c>
      <c r="E57" s="325">
        <v>3864799.713318306</v>
      </c>
      <c r="F57" s="326">
        <v>433545.99577940843</v>
      </c>
      <c r="G57" s="326">
        <v>392853.3966035078</v>
      </c>
      <c r="H57" s="326">
        <v>433954.8085995682</v>
      </c>
      <c r="I57" s="326">
        <v>276582.13205326704</v>
      </c>
      <c r="J57" s="326">
        <v>246834.51509388667</v>
      </c>
      <c r="K57" s="326">
        <v>289452.61324547569</v>
      </c>
      <c r="L57" s="326">
        <v>248289.61726689117</v>
      </c>
      <c r="M57" s="326">
        <v>254142.23143959936</v>
      </c>
      <c r="N57" s="326">
        <v>281663.27857489535</v>
      </c>
      <c r="O57" s="326">
        <v>301455.01034453372</v>
      </c>
      <c r="P57" s="326">
        <v>352117.15924125304</v>
      </c>
      <c r="Q57" s="326">
        <v>353908.95507601916</v>
      </c>
    </row>
    <row r="58" spans="1:17" x14ac:dyDescent="0.35">
      <c r="A58" s="323"/>
      <c r="B58" s="323" t="s">
        <v>285</v>
      </c>
      <c r="C58" s="324">
        <v>1.2605074559999998</v>
      </c>
      <c r="D58" s="324">
        <v>2.0398404312000005</v>
      </c>
      <c r="E58" s="325">
        <v>4418628.8922111364</v>
      </c>
      <c r="F58" s="326">
        <v>446559.21540574351</v>
      </c>
      <c r="G58" s="326">
        <v>506072.17193813296</v>
      </c>
      <c r="H58" s="326">
        <v>521014.02349507727</v>
      </c>
      <c r="I58" s="326">
        <v>282928.17162722111</v>
      </c>
      <c r="J58" s="326">
        <v>274638.35610731516</v>
      </c>
      <c r="K58" s="326">
        <v>332553.5056299456</v>
      </c>
      <c r="L58" s="326">
        <v>314069.57555605622</v>
      </c>
      <c r="M58" s="326">
        <v>252775.10638448637</v>
      </c>
      <c r="N58" s="326">
        <v>300365.11160308222</v>
      </c>
      <c r="O58" s="326">
        <v>365545.5487904562</v>
      </c>
      <c r="P58" s="326">
        <v>434948.88763662329</v>
      </c>
      <c r="Q58" s="326">
        <v>387159.21803699707</v>
      </c>
    </row>
    <row r="59" spans="1:17" x14ac:dyDescent="0.35">
      <c r="A59" s="319" t="s">
        <v>293</v>
      </c>
      <c r="B59" s="319"/>
      <c r="C59" s="320" t="s">
        <v>249</v>
      </c>
      <c r="D59" s="320" t="s">
        <v>250</v>
      </c>
      <c r="E59" s="322">
        <v>498517.1129410757</v>
      </c>
      <c r="F59" s="326"/>
      <c r="G59" s="326"/>
      <c r="H59" s="326"/>
      <c r="I59" s="326"/>
      <c r="J59" s="326"/>
      <c r="K59" s="326"/>
      <c r="L59" s="326"/>
      <c r="M59" s="326"/>
      <c r="N59" s="326"/>
      <c r="O59" s="326"/>
      <c r="P59" s="326"/>
      <c r="Q59" s="326"/>
    </row>
    <row r="60" spans="1:17" x14ac:dyDescent="0.35">
      <c r="A60" s="323"/>
      <c r="B60" s="323" t="s">
        <v>234</v>
      </c>
      <c r="C60" s="324">
        <v>1.4162528483999999</v>
      </c>
      <c r="D60" s="324">
        <v>2.6713061855999993</v>
      </c>
      <c r="E60" s="325">
        <v>139344.91118841659</v>
      </c>
      <c r="F60" s="326">
        <v>25657.842486564281</v>
      </c>
      <c r="G60" s="326">
        <v>19025.202932214332</v>
      </c>
      <c r="H60" s="326">
        <v>16338.296318490429</v>
      </c>
      <c r="I60" s="326">
        <v>8549.9467708477659</v>
      </c>
      <c r="J60" s="326">
        <v>8157.3614812712867</v>
      </c>
      <c r="K60" s="326">
        <v>7778.7970948939665</v>
      </c>
      <c r="L60" s="326">
        <v>7955.4604752033838</v>
      </c>
      <c r="M60" s="326">
        <v>8123.7113135933041</v>
      </c>
      <c r="N60" s="326">
        <v>8648.0930932418869</v>
      </c>
      <c r="O60" s="326">
        <v>7537.6375598684153</v>
      </c>
      <c r="P60" s="326">
        <v>9172.4748728904706</v>
      </c>
      <c r="Q60" s="326">
        <v>12400.086789337101</v>
      </c>
    </row>
    <row r="61" spans="1:17" x14ac:dyDescent="0.35">
      <c r="A61" s="323"/>
      <c r="B61" s="323" t="s">
        <v>231</v>
      </c>
      <c r="C61" s="324">
        <v>0.90962581320000002</v>
      </c>
      <c r="D61" s="324">
        <v>1.5150329999999999</v>
      </c>
      <c r="E61" s="325">
        <v>201861.19558212379</v>
      </c>
      <c r="F61" s="326">
        <v>32517.456285599997</v>
      </c>
      <c r="G61" s="326">
        <v>25006.043874239997</v>
      </c>
      <c r="H61" s="326">
        <v>22186.264454639997</v>
      </c>
      <c r="I61" s="326">
        <v>13967.213399104679</v>
      </c>
      <c r="J61" s="326">
        <v>12800.127095736552</v>
      </c>
      <c r="K61" s="326">
        <v>12153.546875197728</v>
      </c>
      <c r="L61" s="326">
        <v>12935.206528996752</v>
      </c>
      <c r="M61" s="326">
        <v>13488.131675808503</v>
      </c>
      <c r="N61" s="326">
        <v>13774.500074320127</v>
      </c>
      <c r="O61" s="326">
        <v>11440.327467583871</v>
      </c>
      <c r="P61" s="326">
        <v>13226.978104838783</v>
      </c>
      <c r="Q61" s="326">
        <v>18365.399746056795</v>
      </c>
    </row>
    <row r="62" spans="1:17" x14ac:dyDescent="0.35">
      <c r="A62" s="323"/>
      <c r="B62" s="323" t="s">
        <v>285</v>
      </c>
      <c r="C62" s="324">
        <v>0.7999374239999999</v>
      </c>
      <c r="D62" s="324">
        <v>1.4544316799999997</v>
      </c>
      <c r="E62" s="325">
        <v>157311.00617053531</v>
      </c>
      <c r="F62" s="326">
        <v>22041.795755865594</v>
      </c>
      <c r="G62" s="326">
        <v>22165.626069100796</v>
      </c>
      <c r="H62" s="326">
        <v>18493.913292940793</v>
      </c>
      <c r="I62" s="326">
        <v>9934.0708961894379</v>
      </c>
      <c r="J62" s="326">
        <v>9968.9161703788777</v>
      </c>
      <c r="K62" s="326">
        <v>11123.561846928958</v>
      </c>
      <c r="L62" s="326">
        <v>10900.235316896638</v>
      </c>
      <c r="M62" s="326">
        <v>9633.1344372806398</v>
      </c>
      <c r="N62" s="326">
        <v>10322.120540571839</v>
      </c>
      <c r="O62" s="326">
        <v>10173.236187216959</v>
      </c>
      <c r="P62" s="326">
        <v>11079.213316142399</v>
      </c>
      <c r="Q62" s="326">
        <v>11475.182341022399</v>
      </c>
    </row>
    <row r="63" spans="1:17" x14ac:dyDescent="0.35">
      <c r="A63" s="319" t="s">
        <v>1469</v>
      </c>
      <c r="B63" s="319"/>
      <c r="C63" s="320"/>
      <c r="D63" s="320"/>
      <c r="E63" s="322">
        <v>44280000</v>
      </c>
      <c r="G63" s="326"/>
    </row>
    <row r="64" spans="1:17" x14ac:dyDescent="0.35">
      <c r="F64" s="326">
        <v>3690000</v>
      </c>
      <c r="G64" s="326">
        <v>3690000</v>
      </c>
      <c r="H64" s="326">
        <v>3690000</v>
      </c>
      <c r="I64" s="326">
        <v>3690000</v>
      </c>
      <c r="J64" s="326">
        <v>3690000</v>
      </c>
      <c r="K64" s="326">
        <v>3690000</v>
      </c>
      <c r="L64" s="326">
        <v>3690000</v>
      </c>
      <c r="M64" s="326">
        <v>3690000</v>
      </c>
      <c r="N64" s="326">
        <v>3690000</v>
      </c>
      <c r="O64" s="326">
        <v>3690000</v>
      </c>
      <c r="P64" s="326">
        <v>3690000</v>
      </c>
      <c r="Q64" s="326">
        <v>3690000</v>
      </c>
    </row>
    <row r="66" spans="5:18" x14ac:dyDescent="0.35">
      <c r="E66" t="s">
        <v>295</v>
      </c>
      <c r="F66" s="326">
        <v>244044798.80400732</v>
      </c>
      <c r="G66" s="326">
        <v>228420282.58193788</v>
      </c>
      <c r="H66" s="326">
        <v>241619463.51452321</v>
      </c>
      <c r="I66" s="326">
        <v>190394817.44685078</v>
      </c>
      <c r="J66" s="326">
        <v>181777413.89639562</v>
      </c>
      <c r="K66" s="326">
        <v>179371275.48850307</v>
      </c>
      <c r="L66" s="326">
        <v>184541469.78660029</v>
      </c>
      <c r="M66" s="326">
        <v>185361040.85216284</v>
      </c>
      <c r="N66" s="326">
        <v>189436111.7013014</v>
      </c>
      <c r="O66" s="326">
        <v>175836914.78880405</v>
      </c>
      <c r="P66" s="326">
        <v>200816960.4139919</v>
      </c>
      <c r="Q66" s="326">
        <v>195752870.52850765</v>
      </c>
      <c r="R66" s="326">
        <v>2397373419.803586</v>
      </c>
    </row>
    <row r="67" spans="5:18" hidden="1" x14ac:dyDescent="0.35">
      <c r="E67" t="s">
        <v>296</v>
      </c>
      <c r="F67" s="327">
        <v>42277182.222590268</v>
      </c>
      <c r="G67" s="327">
        <v>40512194.725974575</v>
      </c>
      <c r="H67" s="327">
        <v>68930472.738912165</v>
      </c>
      <c r="I67" s="327">
        <v>53152912.683798015</v>
      </c>
      <c r="J67" s="327">
        <v>52329760.48583629</v>
      </c>
      <c r="K67" s="327">
        <v>54303604.910270825</v>
      </c>
      <c r="L67" s="327">
        <v>52674461.726951405</v>
      </c>
      <c r="M67" s="327">
        <v>50236435.611212038</v>
      </c>
      <c r="N67" s="327">
        <v>55399257.3025719</v>
      </c>
      <c r="O67" s="327">
        <v>55685756.39205189</v>
      </c>
      <c r="P67" s="327">
        <v>74843249.998104483</v>
      </c>
      <c r="Q67" s="327">
        <v>62556309.369073197</v>
      </c>
      <c r="R67" s="326">
        <v>662901598.16734695</v>
      </c>
    </row>
    <row r="68" spans="5:18" hidden="1" x14ac:dyDescent="0.35">
      <c r="E68" t="s">
        <v>297</v>
      </c>
      <c r="F68" s="326">
        <v>194790696.58141705</v>
      </c>
      <c r="G68" s="326">
        <v>180931167.85596329</v>
      </c>
      <c r="H68" s="326">
        <v>165712070.77561104</v>
      </c>
      <c r="I68" s="326">
        <v>130264984.76305276</v>
      </c>
      <c r="J68" s="326">
        <v>122470733.41055933</v>
      </c>
      <c r="K68" s="326">
        <v>118090750.57823224</v>
      </c>
      <c r="L68" s="326">
        <v>124890088.05964889</v>
      </c>
      <c r="M68" s="326">
        <v>128147685.24095079</v>
      </c>
      <c r="N68" s="326">
        <v>127059934.3987295</v>
      </c>
      <c r="O68" s="326">
        <v>113174238.39675216</v>
      </c>
      <c r="P68" s="326">
        <v>118996790.41588742</v>
      </c>
      <c r="Q68" s="326">
        <v>126219641.15943445</v>
      </c>
      <c r="R68" s="326">
        <v>1650748781.6362391</v>
      </c>
    </row>
    <row r="69" spans="5:18" x14ac:dyDescent="0.35">
      <c r="E69" t="s">
        <v>298</v>
      </c>
      <c r="F69" s="327">
        <v>3286920</v>
      </c>
      <c r="G69">
        <v>3286920</v>
      </c>
      <c r="H69">
        <v>3286920</v>
      </c>
      <c r="I69">
        <v>3286920</v>
      </c>
      <c r="J69">
        <v>3286920</v>
      </c>
      <c r="K69">
        <v>3286920</v>
      </c>
      <c r="L69">
        <v>3286920</v>
      </c>
      <c r="M69">
        <v>3286920</v>
      </c>
      <c r="N69">
        <v>3286920</v>
      </c>
      <c r="O69">
        <v>3286920</v>
      </c>
      <c r="P69">
        <v>3286920</v>
      </c>
      <c r="Q69">
        <v>3286920</v>
      </c>
      <c r="R69" s="326">
        <v>39443040</v>
      </c>
    </row>
    <row r="70" spans="5:18" x14ac:dyDescent="0.35">
      <c r="E70" s="326" t="s">
        <v>299</v>
      </c>
      <c r="F70" s="326">
        <v>3690000</v>
      </c>
      <c r="G70">
        <v>3690000</v>
      </c>
      <c r="H70">
        <v>3690000</v>
      </c>
      <c r="I70">
        <v>3690000</v>
      </c>
      <c r="J70">
        <v>3690000</v>
      </c>
      <c r="K70">
        <v>3690000</v>
      </c>
      <c r="L70">
        <v>3690000</v>
      </c>
      <c r="M70">
        <v>3690000</v>
      </c>
      <c r="N70">
        <v>3690000</v>
      </c>
      <c r="O70">
        <v>3690000</v>
      </c>
      <c r="P70">
        <v>3690000</v>
      </c>
      <c r="Q70">
        <v>3690000</v>
      </c>
      <c r="R70" s="327">
        <v>44280000</v>
      </c>
    </row>
    <row r="71" spans="5:18" x14ac:dyDescent="0.35">
      <c r="E71" s="326"/>
      <c r="R71">
        <v>2357930379.803586</v>
      </c>
    </row>
    <row r="72" spans="5:18" x14ac:dyDescent="0.35">
      <c r="E72" s="327"/>
      <c r="R72">
        <v>2397373419.803586</v>
      </c>
    </row>
  </sheetData>
  <pageMargins left="0.11811023622047245" right="0.11811023622047245" top="0.15748031496062992" bottom="0.15748031496062992" header="0" footer="0"/>
  <pageSetup paperSize="9" fitToHeight="0" orientation="landscape"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Q51"/>
  <sheetViews>
    <sheetView topLeftCell="C1" workbookViewId="0">
      <selection activeCell="F10" sqref="F10"/>
    </sheetView>
  </sheetViews>
  <sheetFormatPr defaultColWidth="9.36328125" defaultRowHeight="14" x14ac:dyDescent="0.3"/>
  <cols>
    <col min="1" max="1" width="47" style="392" customWidth="1"/>
    <col min="2" max="2" width="19.453125" style="392" customWidth="1"/>
    <col min="3" max="3" width="17.6328125" style="392" bestFit="1" customWidth="1"/>
    <col min="4" max="4" width="19.36328125" style="392" customWidth="1"/>
    <col min="5" max="5" width="17.6328125" style="392" bestFit="1" customWidth="1"/>
    <col min="6" max="6" width="17" style="392" customWidth="1"/>
    <col min="7" max="7" width="17.6328125" style="392" bestFit="1" customWidth="1"/>
    <col min="8" max="9" width="17" style="392" customWidth="1"/>
    <col min="10" max="10" width="19.6328125" style="392" customWidth="1"/>
    <col min="11" max="12" width="17" style="392" bestFit="1" customWidth="1"/>
    <col min="13" max="13" width="15.36328125" style="392" bestFit="1" customWidth="1"/>
    <col min="14" max="15" width="9.36328125" style="392"/>
    <col min="16" max="16" width="24.36328125" style="392" bestFit="1" customWidth="1"/>
    <col min="17" max="17" width="17.6328125" style="392" bestFit="1" customWidth="1"/>
    <col min="18" max="16384" width="9.36328125" style="392"/>
  </cols>
  <sheetData>
    <row r="1" spans="1:17" x14ac:dyDescent="0.3">
      <c r="A1" s="439" t="s">
        <v>1410</v>
      </c>
    </row>
    <row r="2" spans="1:17" x14ac:dyDescent="0.3">
      <c r="A2" s="439" t="s">
        <v>1459</v>
      </c>
    </row>
    <row r="3" spans="1:17" x14ac:dyDescent="0.3">
      <c r="A3" s="439"/>
    </row>
    <row r="4" spans="1:17" ht="28" x14ac:dyDescent="0.3">
      <c r="A4" s="468" t="s">
        <v>1409</v>
      </c>
      <c r="B4" s="442" t="s">
        <v>1398</v>
      </c>
      <c r="C4" s="442" t="s">
        <v>1414</v>
      </c>
      <c r="D4" s="442" t="s">
        <v>1449</v>
      </c>
      <c r="E4" s="444"/>
      <c r="F4" s="444"/>
      <c r="H4" s="445"/>
      <c r="I4" s="441" t="s">
        <v>1399</v>
      </c>
      <c r="J4" s="470" t="s">
        <v>1413</v>
      </c>
      <c r="K4" s="383" t="s">
        <v>1396</v>
      </c>
      <c r="L4" s="383" t="s">
        <v>1397</v>
      </c>
      <c r="P4" s="446" t="s">
        <v>1405</v>
      </c>
    </row>
    <row r="5" spans="1:17" x14ac:dyDescent="0.3">
      <c r="A5" s="384" t="s">
        <v>1391</v>
      </c>
      <c r="B5" s="447">
        <v>-1600698536.5620301</v>
      </c>
      <c r="C5" s="447">
        <v>-1171232150.8199999</v>
      </c>
      <c r="D5" s="448">
        <v>-1600698536.5620301</v>
      </c>
      <c r="E5" s="467"/>
      <c r="F5" s="449"/>
      <c r="G5" s="452"/>
      <c r="H5" s="447"/>
      <c r="I5" s="447">
        <v>-1773848213.5620301</v>
      </c>
      <c r="J5" s="447">
        <v>-1558859280</v>
      </c>
      <c r="K5" s="447">
        <v>-1623332498.8</v>
      </c>
      <c r="L5" s="447">
        <v>-1683290561.6800001</v>
      </c>
      <c r="N5" s="450">
        <f>(C5-J5)/C5</f>
        <v>-0.33095670137522742</v>
      </c>
      <c r="P5" s="451">
        <f>C5*7.64%</f>
        <v>-89482136.322647989</v>
      </c>
      <c r="Q5" s="452">
        <f>C5+P5</f>
        <v>-1260714287.142648</v>
      </c>
    </row>
    <row r="6" spans="1:17" x14ac:dyDescent="0.3">
      <c r="A6" s="384" t="s">
        <v>1392</v>
      </c>
      <c r="B6" s="447">
        <v>-627466037.95200002</v>
      </c>
      <c r="C6" s="447">
        <v>-520765386.14999998</v>
      </c>
      <c r="D6" s="448">
        <v>-627466037.95200002</v>
      </c>
      <c r="E6" s="467"/>
      <c r="F6" s="449"/>
      <c r="G6" s="452"/>
      <c r="H6" s="447"/>
      <c r="I6" s="447">
        <v>-598992701.95200002</v>
      </c>
      <c r="J6" s="447">
        <v>-787980196</v>
      </c>
      <c r="K6" s="447">
        <v>-821835958</v>
      </c>
      <c r="L6" s="447">
        <v>-860876474</v>
      </c>
      <c r="N6" s="450">
        <f>(C6-J6)/C6</f>
        <v>-0.51311937574328748</v>
      </c>
      <c r="P6" s="451">
        <f>C6*7.64%</f>
        <v>-39786475.501859993</v>
      </c>
      <c r="Q6" s="452">
        <f>C6+P6</f>
        <v>-560551861.65186</v>
      </c>
    </row>
    <row r="7" spans="1:17" x14ac:dyDescent="0.3">
      <c r="A7" s="384" t="s">
        <v>1393</v>
      </c>
      <c r="B7" s="447">
        <v>-47554831</v>
      </c>
      <c r="C7" s="447">
        <v>-39438454.710000001</v>
      </c>
      <c r="D7" s="448">
        <v>-47554831</v>
      </c>
      <c r="E7" s="467"/>
      <c r="F7" s="449"/>
      <c r="G7" s="452"/>
      <c r="H7" s="447"/>
      <c r="I7" s="447">
        <v>-38182000</v>
      </c>
      <c r="J7" s="472">
        <v>-44280000</v>
      </c>
      <c r="K7" s="472">
        <v>-44690000</v>
      </c>
      <c r="L7" s="472">
        <v>-45100000</v>
      </c>
      <c r="N7" s="450">
        <f>(C7-J7)/C7</f>
        <v>-0.12276204343200035</v>
      </c>
      <c r="P7" s="451">
        <f>C7*7.64%</f>
        <v>-3013097.9398439997</v>
      </c>
      <c r="Q7" s="452">
        <f>C7+P7</f>
        <v>-42451552.649843998</v>
      </c>
    </row>
    <row r="8" spans="1:17" x14ac:dyDescent="0.3">
      <c r="A8" s="384" t="s">
        <v>1394</v>
      </c>
      <c r="B8" s="447">
        <v>-8000000</v>
      </c>
      <c r="C8" s="447">
        <v>-7286803.9500000002</v>
      </c>
      <c r="D8" s="448">
        <v>-8000000</v>
      </c>
      <c r="E8" s="467"/>
      <c r="F8" s="449"/>
      <c r="H8" s="447"/>
      <c r="I8" s="447">
        <v>-12960000</v>
      </c>
      <c r="J8" s="447">
        <v>-13460000</v>
      </c>
      <c r="K8" s="447">
        <v>-13621520</v>
      </c>
      <c r="L8" s="447">
        <v>-13877605</v>
      </c>
      <c r="N8" s="450">
        <f>(C8-J8)/C8</f>
        <v>-0.84717471368225838</v>
      </c>
      <c r="P8" s="451">
        <f>C8*7.64%</f>
        <v>-556711.82178</v>
      </c>
      <c r="Q8" s="452">
        <f>C8+P8</f>
        <v>-7843515.7717800001</v>
      </c>
    </row>
    <row r="9" spans="1:17" x14ac:dyDescent="0.3">
      <c r="A9" s="384" t="s">
        <v>1395</v>
      </c>
      <c r="B9" s="393"/>
      <c r="C9" s="393"/>
      <c r="D9" s="453"/>
      <c r="E9" s="467"/>
      <c r="F9" s="449"/>
      <c r="H9" s="447"/>
      <c r="I9" s="447"/>
      <c r="J9" s="447">
        <v>988008</v>
      </c>
      <c r="K9" s="447">
        <v>1047289</v>
      </c>
      <c r="L9" s="447">
        <v>1110126</v>
      </c>
      <c r="N9" s="450" t="e">
        <f>(C9-J9)/C9</f>
        <v>#DIV/0!</v>
      </c>
      <c r="P9" s="451">
        <f>C9*7.64%</f>
        <v>0</v>
      </c>
      <c r="Q9" s="452">
        <f>C9+P9</f>
        <v>0</v>
      </c>
    </row>
    <row r="10" spans="1:17" x14ac:dyDescent="0.3">
      <c r="A10" s="384" t="s">
        <v>1400</v>
      </c>
      <c r="B10" s="447"/>
      <c r="C10" s="393"/>
      <c r="D10" s="453"/>
      <c r="H10" s="393"/>
      <c r="I10" s="447">
        <v>-35342725.549999997</v>
      </c>
      <c r="J10" s="393"/>
      <c r="K10" s="393"/>
      <c r="L10" s="393"/>
    </row>
    <row r="11" spans="1:17" ht="14.5" thickBot="1" x14ac:dyDescent="0.35">
      <c r="A11" s="438" t="s">
        <v>1448</v>
      </c>
      <c r="B11" s="454">
        <f>SUM(B5:B10)</f>
        <v>-2283719405.51403</v>
      </c>
      <c r="C11" s="455">
        <f>SUM(C5:C10)</f>
        <v>-1738722795.6299999</v>
      </c>
      <c r="D11" s="455">
        <f>SUM(D5:D10)</f>
        <v>-2283719405.51403</v>
      </c>
      <c r="E11" s="456"/>
      <c r="F11" s="456"/>
      <c r="G11" s="456">
        <f>SUM(J5:J10)</f>
        <v>-2403591468</v>
      </c>
      <c r="H11" s="456"/>
      <c r="I11" s="466">
        <v>-2459325641.0640302</v>
      </c>
      <c r="J11" s="456">
        <f>SUM(J5:J10)</f>
        <v>-2403591468</v>
      </c>
      <c r="K11" s="456">
        <f>SUM(K5:K10)</f>
        <v>-2502432687.8000002</v>
      </c>
      <c r="L11" s="456">
        <f>SUM(L5:L10)</f>
        <v>-2602034514.6800003</v>
      </c>
      <c r="P11" s="457">
        <f>SUM(P5:P9)</f>
        <v>-132838421.58613198</v>
      </c>
      <c r="Q11" s="457">
        <f>SUM(Q5:Q9)</f>
        <v>-1871561217.2161319</v>
      </c>
    </row>
    <row r="12" spans="1:17" x14ac:dyDescent="0.3">
      <c r="F12" s="392" t="s">
        <v>1222</v>
      </c>
      <c r="G12" s="466">
        <v>2404579475.7865248</v>
      </c>
      <c r="J12" s="451">
        <v>2404579475.78652</v>
      </c>
    </row>
    <row r="13" spans="1:17" x14ac:dyDescent="0.3">
      <c r="C13" s="452">
        <f>C11/10</f>
        <v>-173872279.56299999</v>
      </c>
      <c r="D13" s="452"/>
      <c r="E13" s="452"/>
      <c r="G13" s="456">
        <f>SUM(G11:G12)</f>
        <v>988007.78652477264</v>
      </c>
      <c r="H13" s="458"/>
      <c r="I13" s="458"/>
      <c r="J13" s="452"/>
      <c r="L13" s="439" t="s">
        <v>1404</v>
      </c>
      <c r="Q13" s="452">
        <f>Q11-G11</f>
        <v>532030250.78386807</v>
      </c>
    </row>
    <row r="14" spans="1:17" x14ac:dyDescent="0.3">
      <c r="C14" s="466">
        <f>C13*12</f>
        <v>-2086467354.756</v>
      </c>
      <c r="D14" s="452">
        <f>C14*7.64%</f>
        <v>-159406105.9033584</v>
      </c>
      <c r="E14" s="452">
        <f>C14+D14</f>
        <v>-2245873460.6593585</v>
      </c>
      <c r="L14" s="392" t="s">
        <v>1401</v>
      </c>
    </row>
    <row r="15" spans="1:17" x14ac:dyDescent="0.3">
      <c r="L15" s="392" t="s">
        <v>1402</v>
      </c>
    </row>
    <row r="16" spans="1:17" x14ac:dyDescent="0.3">
      <c r="A16" s="439" t="s">
        <v>1411</v>
      </c>
      <c r="G16" s="451"/>
      <c r="H16" s="451"/>
      <c r="L16" s="392" t="s">
        <v>1403</v>
      </c>
    </row>
    <row r="19" spans="1:13" ht="31.5" x14ac:dyDescent="0.3">
      <c r="A19" s="464" t="s">
        <v>1409</v>
      </c>
      <c r="B19" s="442" t="s">
        <v>1415</v>
      </c>
      <c r="C19" s="442" t="s">
        <v>1407</v>
      </c>
      <c r="D19" s="442" t="s">
        <v>1450</v>
      </c>
      <c r="E19" s="444"/>
      <c r="F19" s="444"/>
      <c r="G19" s="444"/>
      <c r="J19" s="392" t="s">
        <v>1416</v>
      </c>
    </row>
    <row r="20" spans="1:13" x14ac:dyDescent="0.3">
      <c r="A20" s="384" t="s">
        <v>1391</v>
      </c>
      <c r="B20" s="447">
        <v>-1600698536.5620301</v>
      </c>
      <c r="C20" s="447">
        <f>B20*7.64%</f>
        <v>-122293368.19333909</v>
      </c>
      <c r="D20" s="459">
        <f>B20+C20</f>
        <v>-1722991904.7553692</v>
      </c>
      <c r="E20" s="449"/>
      <c r="F20" s="449"/>
      <c r="G20" s="452"/>
      <c r="J20" s="392" t="s">
        <v>1421</v>
      </c>
    </row>
    <row r="21" spans="1:13" x14ac:dyDescent="0.3">
      <c r="A21" s="384" t="s">
        <v>1392</v>
      </c>
      <c r="B21" s="447">
        <v>-627466037.95200002</v>
      </c>
      <c r="C21" s="447">
        <f t="shared" ref="C21:C23" si="0">B21*7.64%</f>
        <v>-47938405.299532801</v>
      </c>
      <c r="D21" s="459">
        <f t="shared" ref="D21:D24" si="1">B21+C21</f>
        <v>-675404443.25153279</v>
      </c>
      <c r="E21" s="449"/>
      <c r="F21" s="449"/>
      <c r="G21" s="452"/>
      <c r="L21" s="451">
        <v>1734637377</v>
      </c>
      <c r="M21" s="392" t="s">
        <v>1406</v>
      </c>
    </row>
    <row r="22" spans="1:13" x14ac:dyDescent="0.3">
      <c r="A22" s="384" t="s">
        <v>1393</v>
      </c>
      <c r="B22" s="447">
        <v>-47554831</v>
      </c>
      <c r="C22" s="447">
        <f t="shared" si="0"/>
        <v>-3633189.0883999998</v>
      </c>
      <c r="D22" s="459">
        <f t="shared" si="1"/>
        <v>-51188020.088399999</v>
      </c>
      <c r="E22" s="449"/>
      <c r="F22" s="449"/>
      <c r="G22" s="452"/>
    </row>
    <row r="23" spans="1:13" x14ac:dyDescent="0.3">
      <c r="A23" s="384" t="s">
        <v>1394</v>
      </c>
      <c r="B23" s="447">
        <v>-8000000</v>
      </c>
      <c r="C23" s="447">
        <f t="shared" si="0"/>
        <v>-611200</v>
      </c>
      <c r="D23" s="459">
        <f t="shared" si="1"/>
        <v>-8611200</v>
      </c>
      <c r="E23" s="449"/>
      <c r="F23" s="449"/>
      <c r="G23" s="452"/>
      <c r="L23" s="451">
        <f>C6-J6</f>
        <v>267214809.85000002</v>
      </c>
    </row>
    <row r="24" spans="1:13" x14ac:dyDescent="0.3">
      <c r="A24" s="384" t="s">
        <v>1395</v>
      </c>
      <c r="B24" s="447"/>
      <c r="C24" s="447">
        <v>988008</v>
      </c>
      <c r="D24" s="459">
        <f t="shared" si="1"/>
        <v>988008</v>
      </c>
      <c r="E24" s="449"/>
      <c r="F24" s="449"/>
      <c r="L24" s="452">
        <f>C5-J5</f>
        <v>387627129.18000007</v>
      </c>
    </row>
    <row r="25" spans="1:13" x14ac:dyDescent="0.3">
      <c r="A25" s="384" t="s">
        <v>1400</v>
      </c>
      <c r="B25" s="447"/>
      <c r="C25" s="447"/>
      <c r="D25" s="393"/>
      <c r="E25" s="449"/>
      <c r="F25" s="449"/>
    </row>
    <row r="26" spans="1:13" ht="14.5" thickBot="1" x14ac:dyDescent="0.35">
      <c r="A26" s="438" t="s">
        <v>1448</v>
      </c>
      <c r="B26" s="455">
        <f>SUM(B20:B25)</f>
        <v>-2283719405.51403</v>
      </c>
      <c r="C26" s="455">
        <f>SUM(C20:C25)</f>
        <v>-173488154.58127189</v>
      </c>
      <c r="D26" s="455">
        <f>SUM(D20:D25)</f>
        <v>-2457207560.0953016</v>
      </c>
      <c r="K26" s="392" t="s">
        <v>1418</v>
      </c>
    </row>
    <row r="27" spans="1:13" x14ac:dyDescent="0.3">
      <c r="B27" s="456"/>
      <c r="C27" s="456"/>
      <c r="D27" s="456"/>
    </row>
    <row r="28" spans="1:13" x14ac:dyDescent="0.3">
      <c r="B28" s="456"/>
      <c r="C28" s="456"/>
      <c r="D28" s="456"/>
    </row>
    <row r="29" spans="1:13" x14ac:dyDescent="0.3">
      <c r="A29" s="439" t="s">
        <v>1425</v>
      </c>
      <c r="K29" s="392" t="s">
        <v>1419</v>
      </c>
    </row>
    <row r="30" spans="1:13" x14ac:dyDescent="0.3">
      <c r="A30" s="392" t="s">
        <v>1408</v>
      </c>
      <c r="K30" s="392" t="s">
        <v>1420</v>
      </c>
    </row>
    <row r="32" spans="1:13" ht="21.5" x14ac:dyDescent="0.3">
      <c r="A32" s="464" t="s">
        <v>1409</v>
      </c>
      <c r="B32" s="465" t="s">
        <v>1445</v>
      </c>
      <c r="C32" s="443" t="s">
        <v>1417</v>
      </c>
      <c r="D32" s="465" t="s">
        <v>1423</v>
      </c>
      <c r="E32" s="394" t="s">
        <v>1424</v>
      </c>
      <c r="K32" s="392" t="s">
        <v>1422</v>
      </c>
    </row>
    <row r="33" spans="1:5" x14ac:dyDescent="0.3">
      <c r="A33" s="384" t="s">
        <v>1391</v>
      </c>
      <c r="B33" s="460"/>
      <c r="C33" s="459">
        <v>-1722991904.7553692</v>
      </c>
      <c r="D33" s="393"/>
      <c r="E33" s="393"/>
    </row>
    <row r="34" spans="1:5" x14ac:dyDescent="0.3">
      <c r="A34" s="384" t="s">
        <v>1392</v>
      </c>
      <c r="B34" s="460"/>
      <c r="C34" s="459">
        <v>-675404443.25153279</v>
      </c>
      <c r="D34" s="393"/>
      <c r="E34" s="393"/>
    </row>
    <row r="35" spans="1:5" x14ac:dyDescent="0.3">
      <c r="A35" s="384" t="s">
        <v>1393</v>
      </c>
      <c r="B35" s="460"/>
      <c r="C35" s="459">
        <v>-51188020.088399999</v>
      </c>
      <c r="D35" s="393"/>
      <c r="E35" s="393"/>
    </row>
    <row r="36" spans="1:5" x14ac:dyDescent="0.3">
      <c r="A36" s="384" t="s">
        <v>1394</v>
      </c>
      <c r="B36" s="460"/>
      <c r="C36" s="459">
        <v>-8611200</v>
      </c>
      <c r="D36" s="393"/>
      <c r="E36" s="393"/>
    </row>
    <row r="37" spans="1:5" x14ac:dyDescent="0.3">
      <c r="A37" s="384" t="s">
        <v>1395</v>
      </c>
      <c r="B37" s="460"/>
      <c r="C37" s="459">
        <v>988008</v>
      </c>
      <c r="D37" s="393"/>
      <c r="E37" s="393"/>
    </row>
    <row r="38" spans="1:5" x14ac:dyDescent="0.3">
      <c r="A38" s="384" t="s">
        <v>1400</v>
      </c>
      <c r="B38" s="460"/>
      <c r="C38" s="447">
        <v>0</v>
      </c>
      <c r="D38" s="393"/>
      <c r="E38" s="393"/>
    </row>
    <row r="39" spans="1:5" ht="14.5" thickBot="1" x14ac:dyDescent="0.35">
      <c r="A39" s="438" t="s">
        <v>1448</v>
      </c>
      <c r="B39" s="461"/>
      <c r="C39" s="469">
        <f>SUM(C33:C38)</f>
        <v>-2457207560.0953016</v>
      </c>
      <c r="D39" s="462">
        <f>SUM(D33:D38)</f>
        <v>0</v>
      </c>
      <c r="E39" s="462">
        <f>SUM(E33:E38)</f>
        <v>0</v>
      </c>
    </row>
    <row r="41" spans="1:5" x14ac:dyDescent="0.3">
      <c r="A41" s="439" t="s">
        <v>1451</v>
      </c>
    </row>
    <row r="42" spans="1:5" x14ac:dyDescent="0.3">
      <c r="A42" s="439"/>
    </row>
    <row r="43" spans="1:5" x14ac:dyDescent="0.3">
      <c r="A43" s="439"/>
    </row>
    <row r="44" spans="1:5" ht="21" x14ac:dyDescent="0.3">
      <c r="A44" s="464" t="s">
        <v>1409</v>
      </c>
      <c r="B44" s="424" t="s">
        <v>1424</v>
      </c>
      <c r="C44" s="465" t="s">
        <v>1426</v>
      </c>
      <c r="D44" s="465" t="s">
        <v>1427</v>
      </c>
      <c r="E44" s="465" t="s">
        <v>1428</v>
      </c>
    </row>
    <row r="45" spans="1:5" x14ac:dyDescent="0.3">
      <c r="A45" s="384" t="s">
        <v>1391</v>
      </c>
      <c r="B45" s="393"/>
      <c r="C45" s="393"/>
      <c r="D45" s="393"/>
      <c r="E45" s="393"/>
    </row>
    <row r="46" spans="1:5" x14ac:dyDescent="0.3">
      <c r="A46" s="384" t="s">
        <v>1392</v>
      </c>
      <c r="B46" s="393"/>
      <c r="C46" s="393"/>
      <c r="D46" s="393"/>
      <c r="E46" s="393"/>
    </row>
    <row r="47" spans="1:5" x14ac:dyDescent="0.3">
      <c r="A47" s="384" t="s">
        <v>1393</v>
      </c>
      <c r="B47" s="393"/>
      <c r="C47" s="393"/>
      <c r="D47" s="393"/>
      <c r="E47" s="393"/>
    </row>
    <row r="48" spans="1:5" x14ac:dyDescent="0.3">
      <c r="A48" s="384" t="s">
        <v>1394</v>
      </c>
      <c r="B48" s="393"/>
      <c r="C48" s="393"/>
      <c r="D48" s="393"/>
      <c r="E48" s="393"/>
    </row>
    <row r="49" spans="1:5" x14ac:dyDescent="0.3">
      <c r="A49" s="384" t="s">
        <v>1395</v>
      </c>
      <c r="B49" s="393"/>
      <c r="C49" s="393"/>
      <c r="D49" s="393"/>
      <c r="E49" s="393"/>
    </row>
    <row r="50" spans="1:5" x14ac:dyDescent="0.3">
      <c r="A50" s="384" t="s">
        <v>1400</v>
      </c>
      <c r="B50" s="393"/>
      <c r="C50" s="393"/>
      <c r="D50" s="393"/>
      <c r="E50" s="393"/>
    </row>
    <row r="51" spans="1:5" ht="14.5" thickBot="1" x14ac:dyDescent="0.35">
      <c r="A51" s="438" t="s">
        <v>1448</v>
      </c>
      <c r="B51" s="463"/>
      <c r="C51" s="463"/>
      <c r="D51" s="463"/>
      <c r="E51" s="463"/>
    </row>
  </sheetData>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AL120"/>
  <sheetViews>
    <sheetView zoomScale="86" zoomScaleNormal="86" workbookViewId="0">
      <selection activeCell="Z86" sqref="Z86"/>
    </sheetView>
  </sheetViews>
  <sheetFormatPr defaultColWidth="8.6328125" defaultRowHeight="14.5" x14ac:dyDescent="0.35"/>
  <cols>
    <col min="1" max="1" width="35.36328125" style="245" customWidth="1"/>
    <col min="2" max="2" width="14.453125" style="245" hidden="1" customWidth="1"/>
    <col min="3" max="3" width="56.54296875" style="245" hidden="1" customWidth="1"/>
    <col min="4" max="4" width="58" style="245" hidden="1" customWidth="1"/>
    <col min="5" max="5" width="56.54296875" style="245" hidden="1" customWidth="1"/>
    <col min="6" max="6" width="9.36328125" style="245" hidden="1" customWidth="1"/>
    <col min="7" max="7" width="4" style="245" hidden="1" customWidth="1"/>
    <col min="8" max="8" width="19.54296875" style="395" customWidth="1"/>
    <col min="9" max="9" width="20.6328125" style="245" customWidth="1"/>
    <col min="10" max="21" width="17.36328125" style="346" hidden="1" customWidth="1"/>
    <col min="22" max="22" width="18.6328125" style="276" hidden="1" customWidth="1"/>
    <col min="23" max="23" width="18.453125" style="276" hidden="1" customWidth="1"/>
    <col min="24" max="24" width="18.6328125" style="276" hidden="1" customWidth="1"/>
    <col min="25" max="25" width="20.6328125" style="430" customWidth="1"/>
    <col min="26" max="26" width="16.453125" style="245" bestFit="1" customWidth="1"/>
    <col min="27" max="27" width="18.36328125" style="245" bestFit="1" customWidth="1"/>
    <col min="28" max="29" width="17.453125" style="245" customWidth="1"/>
    <col min="30" max="30" width="17.54296875" style="245" customWidth="1"/>
    <col min="31" max="31" width="18.6328125" style="245" bestFit="1" customWidth="1"/>
    <col min="32" max="32" width="17.36328125" style="245" bestFit="1" customWidth="1"/>
    <col min="33" max="33" width="19.36328125" style="245" bestFit="1" customWidth="1"/>
    <col min="34" max="34" width="19.54296875" style="245" customWidth="1"/>
    <col min="35" max="35" width="21.36328125" style="245" customWidth="1"/>
    <col min="36" max="36" width="8.6328125" style="245"/>
    <col min="37" max="37" width="15.453125" style="245" bestFit="1" customWidth="1"/>
    <col min="38" max="16384" width="8.6328125" style="245"/>
  </cols>
  <sheetData>
    <row r="1" spans="1:33" x14ac:dyDescent="0.35">
      <c r="A1" s="247" t="s">
        <v>1412</v>
      </c>
    </row>
    <row r="3" spans="1:33" s="247" customFormat="1" ht="49.5" customHeight="1" x14ac:dyDescent="0.35">
      <c r="A3" s="410" t="s">
        <v>1437</v>
      </c>
      <c r="B3" s="410" t="s">
        <v>532</v>
      </c>
      <c r="C3" s="410" t="s">
        <v>548</v>
      </c>
      <c r="D3" s="410" t="s">
        <v>549</v>
      </c>
      <c r="E3" s="410" t="s">
        <v>548</v>
      </c>
      <c r="F3" s="410" t="s">
        <v>549</v>
      </c>
      <c r="G3" s="410" t="s">
        <v>1429</v>
      </c>
      <c r="H3" s="412" t="s">
        <v>1439</v>
      </c>
      <c r="I3" s="411" t="s">
        <v>1438</v>
      </c>
      <c r="J3" s="399" t="s">
        <v>521</v>
      </c>
      <c r="K3" s="399" t="s">
        <v>522</v>
      </c>
      <c r="L3" s="399" t="s">
        <v>523</v>
      </c>
      <c r="M3" s="399" t="s">
        <v>524</v>
      </c>
      <c r="N3" s="399" t="s">
        <v>525</v>
      </c>
      <c r="O3" s="399" t="s">
        <v>526</v>
      </c>
      <c r="P3" s="399" t="s">
        <v>527</v>
      </c>
      <c r="Q3" s="399" t="s">
        <v>528</v>
      </c>
      <c r="R3" s="399" t="s">
        <v>540</v>
      </c>
      <c r="S3" s="399" t="s">
        <v>541</v>
      </c>
      <c r="T3" s="399" t="s">
        <v>529</v>
      </c>
      <c r="U3" s="399" t="s">
        <v>530</v>
      </c>
      <c r="V3" s="475" t="s">
        <v>281</v>
      </c>
      <c r="W3" s="475" t="s">
        <v>280</v>
      </c>
      <c r="X3" s="475" t="s">
        <v>295</v>
      </c>
      <c r="Y3" s="411" t="s">
        <v>1446</v>
      </c>
      <c r="AD3" s="474" t="s">
        <v>1453</v>
      </c>
    </row>
    <row r="4" spans="1:33" s="247" customFormat="1" x14ac:dyDescent="0.35">
      <c r="A4" s="400" t="s">
        <v>544</v>
      </c>
      <c r="B4" s="398"/>
      <c r="C4" s="398"/>
      <c r="D4" s="398"/>
      <c r="E4" s="398"/>
      <c r="F4" s="398"/>
      <c r="G4" s="398"/>
      <c r="H4" s="413">
        <v>17000</v>
      </c>
      <c r="I4" s="547">
        <f>'Tariff Rand Values Old'!V99</f>
        <v>26480977.577</v>
      </c>
      <c r="J4" s="399"/>
      <c r="K4" s="399"/>
      <c r="L4" s="399"/>
      <c r="M4" s="399"/>
      <c r="N4" s="399"/>
      <c r="O4" s="399"/>
      <c r="P4" s="399"/>
      <c r="Q4" s="399"/>
      <c r="R4" s="399"/>
      <c r="S4" s="399"/>
      <c r="T4" s="399"/>
      <c r="U4" s="399"/>
      <c r="V4" s="475"/>
      <c r="W4" s="475"/>
      <c r="X4" s="475"/>
      <c r="Y4" s="436"/>
      <c r="Z4" s="425">
        <f>'Annexure A'!E9</f>
        <v>0.1459031106660395</v>
      </c>
      <c r="AA4" s="245"/>
      <c r="AB4" s="270"/>
      <c r="AC4" s="382"/>
      <c r="AD4" s="382"/>
    </row>
    <row r="5" spans="1:33" s="247" customFormat="1" hidden="1" x14ac:dyDescent="0.35">
      <c r="A5" s="400"/>
      <c r="B5" s="398"/>
      <c r="C5" s="398"/>
      <c r="D5" s="398"/>
      <c r="E5" s="398"/>
      <c r="F5" s="398"/>
      <c r="G5" s="398"/>
      <c r="H5" s="414"/>
      <c r="I5" s="407"/>
      <c r="J5" s="399"/>
      <c r="K5" s="399"/>
      <c r="L5" s="399"/>
      <c r="M5" s="399"/>
      <c r="N5" s="399"/>
      <c r="O5" s="399"/>
      <c r="P5" s="399"/>
      <c r="Q5" s="399"/>
      <c r="R5" s="399"/>
      <c r="S5" s="399"/>
      <c r="T5" s="399"/>
      <c r="U5" s="399"/>
      <c r="V5" s="475"/>
      <c r="W5" s="475"/>
      <c r="X5" s="475"/>
      <c r="Y5" s="427"/>
      <c r="AA5" s="245"/>
      <c r="AB5" s="245"/>
      <c r="AD5" s="382"/>
    </row>
    <row r="6" spans="1:33" x14ac:dyDescent="0.35">
      <c r="A6" s="400" t="s">
        <v>1441</v>
      </c>
      <c r="B6" s="400"/>
      <c r="C6" s="400"/>
      <c r="D6" s="400"/>
      <c r="E6" s="400"/>
      <c r="F6" s="400"/>
      <c r="G6" s="400"/>
      <c r="H6" s="413">
        <v>148300</v>
      </c>
      <c r="I6" s="408">
        <f>'Tariff Rand Values Old'!I2</f>
        <v>115979198.39023839</v>
      </c>
      <c r="J6" s="476"/>
      <c r="K6" s="476"/>
      <c r="L6" s="476"/>
      <c r="M6" s="476"/>
      <c r="N6" s="476"/>
      <c r="O6" s="476"/>
      <c r="P6" s="476"/>
      <c r="Q6" s="476"/>
      <c r="R6" s="476"/>
      <c r="S6" s="476"/>
      <c r="T6" s="476"/>
      <c r="U6" s="476"/>
      <c r="V6" s="389"/>
      <c r="W6" s="389"/>
      <c r="X6" s="389"/>
      <c r="Y6" s="428">
        <v>0.10349999999999999</v>
      </c>
      <c r="AB6" s="270"/>
      <c r="AD6" s="382">
        <v>128467</v>
      </c>
      <c r="AE6" s="245" t="s">
        <v>1467</v>
      </c>
    </row>
    <row r="7" spans="1:33" ht="15.75" hidden="1" customHeight="1" x14ac:dyDescent="0.35">
      <c r="A7" s="401" t="s">
        <v>309</v>
      </c>
      <c r="B7" s="401" t="s">
        <v>307</v>
      </c>
      <c r="C7" s="401" t="s">
        <v>824</v>
      </c>
      <c r="D7" s="401" t="s">
        <v>825</v>
      </c>
      <c r="E7" s="400" t="s">
        <v>824</v>
      </c>
      <c r="F7" s="400" t="s">
        <v>825</v>
      </c>
      <c r="G7" s="400"/>
      <c r="H7" s="413"/>
      <c r="I7" s="408">
        <f>SUM(J7:U7)</f>
        <v>497409509.2922399</v>
      </c>
      <c r="J7" s="477">
        <v>32210654.899900001</v>
      </c>
      <c r="K7" s="477">
        <v>32017182.4903</v>
      </c>
      <c r="L7" s="477">
        <v>49334994.355899997</v>
      </c>
      <c r="M7" s="477">
        <v>41183967.944379993</v>
      </c>
      <c r="N7" s="477">
        <v>41063410.591419995</v>
      </c>
      <c r="O7" s="477">
        <v>42798038.093499996</v>
      </c>
      <c r="P7" s="477">
        <v>41740777.651900001</v>
      </c>
      <c r="Q7" s="477">
        <v>39898305.347259998</v>
      </c>
      <c r="R7" s="477">
        <v>42570695.317179985</v>
      </c>
      <c r="S7" s="477">
        <v>42467299.907259986</v>
      </c>
      <c r="T7" s="477">
        <v>48747935.432379991</v>
      </c>
      <c r="U7" s="477">
        <v>43376247.260859996</v>
      </c>
      <c r="V7" s="478">
        <f>SUM(L7:T7)</f>
        <v>389805424.64117992</v>
      </c>
      <c r="W7" s="478">
        <f>U7+J7+K7</f>
        <v>107604084.65106</v>
      </c>
      <c r="X7" s="389">
        <f>+W7+V7</f>
        <v>497409509.2922399</v>
      </c>
      <c r="Y7" s="428"/>
      <c r="AD7" s="382"/>
    </row>
    <row r="8" spans="1:33" hidden="1" x14ac:dyDescent="0.35">
      <c r="A8" s="401" t="s">
        <v>309</v>
      </c>
      <c r="B8" s="401" t="s">
        <v>307</v>
      </c>
      <c r="C8" s="401" t="s">
        <v>824</v>
      </c>
      <c r="D8" s="401" t="s">
        <v>825</v>
      </c>
      <c r="E8" s="400" t="s">
        <v>824</v>
      </c>
      <c r="F8" s="400" t="s">
        <v>825</v>
      </c>
      <c r="G8" s="400"/>
      <c r="H8" s="413"/>
      <c r="I8" s="408">
        <f>SUM(J8:U8)</f>
        <v>181950992.077824</v>
      </c>
      <c r="J8" s="477">
        <v>7971797.8368000006</v>
      </c>
      <c r="K8" s="477">
        <v>6418371.4560000002</v>
      </c>
      <c r="L8" s="477">
        <v>18703291.622400001</v>
      </c>
      <c r="M8" s="477">
        <v>14216057.432063999</v>
      </c>
      <c r="N8" s="477">
        <v>13548493.043711999</v>
      </c>
      <c r="O8" s="477">
        <v>13885392.439295996</v>
      </c>
      <c r="P8" s="477">
        <v>12952455.137279999</v>
      </c>
      <c r="Q8" s="477">
        <v>12304729.681919998</v>
      </c>
      <c r="R8" s="477">
        <v>14865788.52864</v>
      </c>
      <c r="S8" s="477">
        <v>15517791.074303998</v>
      </c>
      <c r="T8" s="477">
        <v>29968146.063359998</v>
      </c>
      <c r="U8" s="477">
        <v>21598677.762047999</v>
      </c>
      <c r="V8" s="478">
        <f>SUM(L8:T8)</f>
        <v>145962145.02297598</v>
      </c>
      <c r="W8" s="478">
        <f>U8+J8+K8</f>
        <v>35988847.054848</v>
      </c>
      <c r="X8" s="389">
        <f>+W8+V8</f>
        <v>181950992.077824</v>
      </c>
      <c r="Y8" s="428"/>
      <c r="AD8" s="382"/>
    </row>
    <row r="9" spans="1:33" x14ac:dyDescent="0.35">
      <c r="A9" s="400" t="s">
        <v>1440</v>
      </c>
      <c r="B9" s="400"/>
      <c r="C9" s="400"/>
      <c r="D9" s="400"/>
      <c r="E9" s="400"/>
      <c r="F9" s="400"/>
      <c r="G9" s="400"/>
      <c r="H9" s="413">
        <v>6339</v>
      </c>
      <c r="I9" s="408">
        <f>'Tariff Rand Values Old'!I10</f>
        <v>1595593567.1579618</v>
      </c>
      <c r="J9" s="476"/>
      <c r="K9" s="476"/>
      <c r="L9" s="476"/>
      <c r="M9" s="476"/>
      <c r="N9" s="476"/>
      <c r="O9" s="476"/>
      <c r="P9" s="476"/>
      <c r="Q9" s="476"/>
      <c r="R9" s="476"/>
      <c r="S9" s="476"/>
      <c r="T9" s="476"/>
      <c r="U9" s="476"/>
      <c r="V9" s="389"/>
      <c r="W9" s="389"/>
      <c r="X9" s="389"/>
      <c r="Y9" s="428">
        <v>0.21390000000000001</v>
      </c>
      <c r="AB9" s="270"/>
      <c r="AD9" s="382">
        <v>15891</v>
      </c>
    </row>
    <row r="10" spans="1:33" ht="15" hidden="1" thickBot="1" x14ac:dyDescent="0.4">
      <c r="A10" s="401" t="s">
        <v>305</v>
      </c>
      <c r="B10" s="401" t="s">
        <v>252</v>
      </c>
      <c r="C10" s="401" t="s">
        <v>1042</v>
      </c>
      <c r="D10" s="401" t="s">
        <v>1045</v>
      </c>
      <c r="E10" s="400" t="s">
        <v>1042</v>
      </c>
      <c r="F10" s="400" t="s">
        <v>1045</v>
      </c>
      <c r="G10" s="400"/>
      <c r="H10" s="413"/>
      <c r="I10" s="408">
        <f>SUM(J10:U10)</f>
        <v>30998214.475775994</v>
      </c>
      <c r="J10" s="479">
        <v>3219194.8799999994</v>
      </c>
      <c r="K10" s="479">
        <v>3293654.6303999997</v>
      </c>
      <c r="L10" s="479">
        <v>2891764.4083199999</v>
      </c>
      <c r="M10" s="479">
        <v>2645798.4368639993</v>
      </c>
      <c r="N10" s="479">
        <v>2316529.999872</v>
      </c>
      <c r="O10" s="479">
        <v>2353454.3831039998</v>
      </c>
      <c r="P10" s="479">
        <v>2405999.591424</v>
      </c>
      <c r="Q10" s="479">
        <v>2550619.3489919994</v>
      </c>
      <c r="R10" s="479">
        <v>2335175.0737919998</v>
      </c>
      <c r="S10" s="479">
        <v>2583993.1391999996</v>
      </c>
      <c r="T10" s="479">
        <v>2095233.4909439997</v>
      </c>
      <c r="U10" s="477">
        <v>2306797.0928639998</v>
      </c>
      <c r="V10" s="478">
        <f>SUM(L10:T10)</f>
        <v>22178567.872511994</v>
      </c>
      <c r="W10" s="478">
        <f>U10+J10+K10</f>
        <v>8819646.6032639984</v>
      </c>
      <c r="X10" s="389">
        <f>+W10+V10</f>
        <v>30998214.475775994</v>
      </c>
      <c r="Y10" s="428"/>
      <c r="AB10" s="270"/>
      <c r="AD10" s="382"/>
      <c r="AE10" s="417">
        <f>SUM(B91:B96)</f>
        <v>-2283719405.51403</v>
      </c>
      <c r="AF10" s="417">
        <f>SUM(C91:C96)</f>
        <v>-173488154.58127189</v>
      </c>
      <c r="AG10" s="417">
        <f>SUM(D91:D96)</f>
        <v>-2458195568.0953016</v>
      </c>
    </row>
    <row r="11" spans="1:33" hidden="1" x14ac:dyDescent="0.35">
      <c r="A11" s="401" t="s">
        <v>305</v>
      </c>
      <c r="B11" s="401" t="s">
        <v>252</v>
      </c>
      <c r="C11" s="401" t="s">
        <v>1042</v>
      </c>
      <c r="D11" s="401" t="s">
        <v>1045</v>
      </c>
      <c r="E11" s="400" t="s">
        <v>1042</v>
      </c>
      <c r="F11" s="400" t="s">
        <v>1045</v>
      </c>
      <c r="G11" s="400"/>
      <c r="H11" s="413"/>
      <c r="I11" s="408">
        <f>SUM(J11:U11)</f>
        <v>119905652.36736001</v>
      </c>
      <c r="J11" s="479">
        <v>16830793.728</v>
      </c>
      <c r="K11" s="479">
        <v>18507589.631999999</v>
      </c>
      <c r="L11" s="479">
        <v>12815270.092799999</v>
      </c>
      <c r="M11" s="479">
        <v>10126410.006527999</v>
      </c>
      <c r="N11" s="479">
        <v>7248349.2003839985</v>
      </c>
      <c r="O11" s="479">
        <v>5419112.8412159998</v>
      </c>
      <c r="P11" s="479">
        <v>9247824.6911999974</v>
      </c>
      <c r="Q11" s="479">
        <v>6486119.0553599996</v>
      </c>
      <c r="R11" s="479">
        <v>6661455.5934719993</v>
      </c>
      <c r="S11" s="479">
        <v>6522981.1384319998</v>
      </c>
      <c r="T11" s="479">
        <v>8511671.6974079981</v>
      </c>
      <c r="U11" s="477">
        <v>11528074.690559998</v>
      </c>
      <c r="V11" s="478">
        <f>SUM(L11:T11)</f>
        <v>73039194.316799968</v>
      </c>
      <c r="W11" s="478">
        <f>U11+J11+K11</f>
        <v>46866458.050559998</v>
      </c>
      <c r="X11" s="389">
        <f>+W11+V11</f>
        <v>119905652.36735997</v>
      </c>
      <c r="Y11" s="428"/>
      <c r="AB11" s="270"/>
      <c r="AD11" s="382"/>
    </row>
    <row r="12" spans="1:33" x14ac:dyDescent="0.35">
      <c r="A12" s="400" t="s">
        <v>1435</v>
      </c>
      <c r="B12" s="400"/>
      <c r="C12" s="400"/>
      <c r="D12" s="400"/>
      <c r="E12" s="400"/>
      <c r="F12" s="400"/>
      <c r="G12" s="400"/>
      <c r="H12" s="413">
        <v>154</v>
      </c>
      <c r="I12" s="408">
        <f>'Tariff Rand Values Old'!I16+'Tariff Rand Values Old'!I21</f>
        <v>31456474.902939986</v>
      </c>
      <c r="J12" s="476"/>
      <c r="K12" s="476"/>
      <c r="L12" s="476"/>
      <c r="M12" s="476"/>
      <c r="N12" s="476"/>
      <c r="O12" s="476"/>
      <c r="P12" s="476"/>
      <c r="Q12" s="476"/>
      <c r="R12" s="476"/>
      <c r="S12" s="476"/>
      <c r="T12" s="476"/>
      <c r="U12" s="476"/>
      <c r="V12" s="389"/>
      <c r="W12" s="389"/>
      <c r="X12" s="389"/>
      <c r="Y12" s="429">
        <v>0.08</v>
      </c>
      <c r="AB12" s="270"/>
      <c r="AD12" s="382"/>
    </row>
    <row r="13" spans="1:33" hidden="1" x14ac:dyDescent="0.35">
      <c r="A13" s="401" t="s">
        <v>368</v>
      </c>
      <c r="B13" s="401" t="s">
        <v>368</v>
      </c>
      <c r="C13" s="401" t="s">
        <v>839</v>
      </c>
      <c r="D13" s="401" t="s">
        <v>839</v>
      </c>
      <c r="E13" s="400" t="s">
        <v>839</v>
      </c>
      <c r="F13" s="400" t="s">
        <v>839</v>
      </c>
      <c r="G13" s="400"/>
      <c r="H13" s="413"/>
      <c r="I13" s="408">
        <f>SUM(J13:U13)</f>
        <v>261953.73630682522</v>
      </c>
      <c r="J13" s="477">
        <v>16880.091769760736</v>
      </c>
      <c r="K13" s="477">
        <v>16880.091769760736</v>
      </c>
      <c r="L13" s="477">
        <v>16880.091769760736</v>
      </c>
      <c r="M13" s="477">
        <v>16880.091769760736</v>
      </c>
      <c r="N13" s="477">
        <v>17599.360089171936</v>
      </c>
      <c r="O13" s="477">
        <v>19367.24590582999</v>
      </c>
      <c r="P13" s="477">
        <v>20010.801770566326</v>
      </c>
      <c r="Q13" s="477">
        <v>26094.297503691578</v>
      </c>
      <c r="R13" s="477">
        <v>27635.045956325044</v>
      </c>
      <c r="S13" s="477">
        <v>27918.967661355779</v>
      </c>
      <c r="T13" s="477">
        <v>27903.825170420809</v>
      </c>
      <c r="U13" s="477">
        <v>27903.825170420809</v>
      </c>
      <c r="V13" s="480">
        <f>SUM(L13:T13)</f>
        <v>200289.72759688291</v>
      </c>
      <c r="W13" s="480">
        <f>U13+J13+K13</f>
        <v>61664.008709942282</v>
      </c>
      <c r="X13" s="481">
        <f>+W13+V13</f>
        <v>261953.73630682519</v>
      </c>
      <c r="Y13" s="429"/>
      <c r="AB13" s="270"/>
      <c r="AD13" s="382"/>
    </row>
    <row r="14" spans="1:33" hidden="1" x14ac:dyDescent="0.35">
      <c r="A14" s="401" t="s">
        <v>364</v>
      </c>
      <c r="B14" s="401" t="s">
        <v>358</v>
      </c>
      <c r="C14" s="401" t="s">
        <v>827</v>
      </c>
      <c r="D14" s="401" t="s">
        <v>830</v>
      </c>
      <c r="E14" s="400" t="s">
        <v>827</v>
      </c>
      <c r="F14" s="400" t="s">
        <v>830</v>
      </c>
      <c r="G14" s="400"/>
      <c r="H14" s="413"/>
      <c r="I14" s="408">
        <f t="shared" ref="I14:I16" si="0">SUM(J14:U14)</f>
        <v>1966795.6412636482</v>
      </c>
      <c r="J14" s="477">
        <v>277237.27834886382</v>
      </c>
      <c r="K14" s="477">
        <v>273911.49525926617</v>
      </c>
      <c r="L14" s="477">
        <v>206464.61420222488</v>
      </c>
      <c r="M14" s="477">
        <v>120174.711457606</v>
      </c>
      <c r="N14" s="477">
        <v>99378.570458618255</v>
      </c>
      <c r="O14" s="477">
        <v>70601.553275552418</v>
      </c>
      <c r="P14" s="477">
        <v>95716.372857103619</v>
      </c>
      <c r="Q14" s="477">
        <v>120526.03209195948</v>
      </c>
      <c r="R14" s="477">
        <v>125543.67757749622</v>
      </c>
      <c r="S14" s="477">
        <v>158746.52810196171</v>
      </c>
      <c r="T14" s="477">
        <v>196527.10853824724</v>
      </c>
      <c r="U14" s="477">
        <v>221967.69909474836</v>
      </c>
      <c r="V14" s="478">
        <f>SUM(L14:T14)</f>
        <v>1193679.1685607699</v>
      </c>
      <c r="W14" s="478">
        <f>U14+J14+K14</f>
        <v>773116.47270287829</v>
      </c>
      <c r="X14" s="389">
        <f>+W14+V14</f>
        <v>1966795.6412636482</v>
      </c>
      <c r="Y14" s="429"/>
      <c r="AB14" s="270"/>
      <c r="AD14" s="382"/>
    </row>
    <row r="15" spans="1:33" hidden="1" x14ac:dyDescent="0.35">
      <c r="A15" s="401" t="s">
        <v>366</v>
      </c>
      <c r="B15" s="401" t="s">
        <v>360</v>
      </c>
      <c r="C15" s="401" t="s">
        <v>826</v>
      </c>
      <c r="D15" s="401" t="s">
        <v>829</v>
      </c>
      <c r="E15" s="400" t="s">
        <v>826</v>
      </c>
      <c r="F15" s="400" t="s">
        <v>829</v>
      </c>
      <c r="G15" s="400"/>
      <c r="H15" s="413"/>
      <c r="I15" s="408">
        <f t="shared" si="0"/>
        <v>2876493.2123686988</v>
      </c>
      <c r="J15" s="477">
        <v>331502.40518036357</v>
      </c>
      <c r="K15" s="477">
        <v>347744.56124015606</v>
      </c>
      <c r="L15" s="477">
        <v>251347.36502528787</v>
      </c>
      <c r="M15" s="477">
        <v>179726.6878984792</v>
      </c>
      <c r="N15" s="477">
        <v>162297.30628528394</v>
      </c>
      <c r="O15" s="477">
        <v>115873.33975513598</v>
      </c>
      <c r="P15" s="477">
        <v>162324.05736435749</v>
      </c>
      <c r="Q15" s="477">
        <v>196182.1349325316</v>
      </c>
      <c r="R15" s="477">
        <v>211449.16335143015</v>
      </c>
      <c r="S15" s="477">
        <v>246318.26981444607</v>
      </c>
      <c r="T15" s="477">
        <v>311360.58906881255</v>
      </c>
      <c r="U15" s="477">
        <v>360367.33245241467</v>
      </c>
      <c r="V15" s="478">
        <f>SUM(L15:T15)</f>
        <v>1836878.9134957648</v>
      </c>
      <c r="W15" s="478">
        <f>U15+J15+K15</f>
        <v>1039614.2988729343</v>
      </c>
      <c r="X15" s="389">
        <f>+W15+V15</f>
        <v>2876493.2123686993</v>
      </c>
      <c r="Y15" s="429"/>
      <c r="AB15" s="270"/>
      <c r="AD15" s="382"/>
    </row>
    <row r="16" spans="1:33" hidden="1" x14ac:dyDescent="0.35">
      <c r="A16" s="401" t="s">
        <v>362</v>
      </c>
      <c r="B16" s="401" t="s">
        <v>356</v>
      </c>
      <c r="C16" s="401" t="s">
        <v>828</v>
      </c>
      <c r="D16" s="401" t="s">
        <v>831</v>
      </c>
      <c r="E16" s="400" t="s">
        <v>828</v>
      </c>
      <c r="F16" s="400" t="s">
        <v>831</v>
      </c>
      <c r="G16" s="400"/>
      <c r="H16" s="413"/>
      <c r="I16" s="408">
        <f t="shared" si="0"/>
        <v>2882550.978871908</v>
      </c>
      <c r="J16" s="477">
        <v>295234.65941228531</v>
      </c>
      <c r="K16" s="477">
        <v>327228.44173171779</v>
      </c>
      <c r="L16" s="477">
        <v>265859.83714997454</v>
      </c>
      <c r="M16" s="477">
        <v>170126.01620012248</v>
      </c>
      <c r="N16" s="477">
        <v>165055.2804646258</v>
      </c>
      <c r="O16" s="477">
        <v>169863.93718352169</v>
      </c>
      <c r="P16" s="477">
        <v>171868.27917880632</v>
      </c>
      <c r="Q16" s="477">
        <v>195057.77115910558</v>
      </c>
      <c r="R16" s="477">
        <v>273842.88738970563</v>
      </c>
      <c r="S16" s="477">
        <v>228852.97784091352</v>
      </c>
      <c r="T16" s="477">
        <v>276727.78854459198</v>
      </c>
      <c r="U16" s="477">
        <v>342833.10261653725</v>
      </c>
      <c r="V16" s="478">
        <f>SUM(L16:T16)</f>
        <v>1917254.7751113675</v>
      </c>
      <c r="W16" s="478">
        <f>U16+J16+K16</f>
        <v>965296.20376054035</v>
      </c>
      <c r="X16" s="389">
        <f>+W16+V16</f>
        <v>2882550.978871908</v>
      </c>
      <c r="Y16" s="429"/>
      <c r="AB16" s="270"/>
      <c r="AD16" s="382"/>
    </row>
    <row r="17" spans="1:32" hidden="1" x14ac:dyDescent="0.35">
      <c r="A17" s="400" t="s">
        <v>537</v>
      </c>
      <c r="B17" s="398"/>
      <c r="C17" s="398"/>
      <c r="D17" s="398"/>
      <c r="E17" s="398"/>
      <c r="F17" s="398"/>
      <c r="G17" s="398"/>
      <c r="H17" s="415"/>
      <c r="I17" s="408"/>
      <c r="J17" s="482"/>
      <c r="K17" s="482"/>
      <c r="L17" s="482"/>
      <c r="M17" s="482"/>
      <c r="N17" s="482"/>
      <c r="O17" s="482"/>
      <c r="P17" s="482"/>
      <c r="Q17" s="482"/>
      <c r="R17" s="482"/>
      <c r="S17" s="482"/>
      <c r="T17" s="482"/>
      <c r="U17" s="482"/>
      <c r="V17" s="389"/>
      <c r="W17" s="389"/>
      <c r="X17" s="389"/>
      <c r="Y17" s="429" t="s">
        <v>1433</v>
      </c>
      <c r="AB17" s="270"/>
      <c r="AD17" s="382"/>
    </row>
    <row r="18" spans="1:32" hidden="1" x14ac:dyDescent="0.35">
      <c r="A18" s="402" t="s">
        <v>371</v>
      </c>
      <c r="B18" s="402" t="s">
        <v>371</v>
      </c>
      <c r="C18" s="402" t="s">
        <v>838</v>
      </c>
      <c r="D18" s="402" t="s">
        <v>838</v>
      </c>
      <c r="E18" s="400" t="s">
        <v>838</v>
      </c>
      <c r="F18" s="400" t="s">
        <v>838</v>
      </c>
      <c r="G18" s="400"/>
      <c r="H18" s="413"/>
      <c r="I18" s="408">
        <f>SUM(J18:U18)</f>
        <v>11008.590909725102</v>
      </c>
      <c r="J18" s="477">
        <v>741.9820558136588</v>
      </c>
      <c r="K18" s="477">
        <v>741.9820558136588</v>
      </c>
      <c r="L18" s="477">
        <v>741.9820558136588</v>
      </c>
      <c r="M18" s="477">
        <v>741.9820558136588</v>
      </c>
      <c r="N18" s="477">
        <v>741.9820558136588</v>
      </c>
      <c r="O18" s="477">
        <v>772.26703768360403</v>
      </c>
      <c r="P18" s="477">
        <v>847.97949235846704</v>
      </c>
      <c r="Q18" s="477">
        <v>878.26447422841238</v>
      </c>
      <c r="R18" s="477">
        <v>1135.686820122947</v>
      </c>
      <c r="S18" s="477">
        <v>1211.3992747978102</v>
      </c>
      <c r="T18" s="477">
        <v>1226.5417657327828</v>
      </c>
      <c r="U18" s="477">
        <v>1226.5417657327828</v>
      </c>
      <c r="V18" s="478">
        <f>SUM(L18:T18)</f>
        <v>8298.0850323649993</v>
      </c>
      <c r="W18" s="478">
        <f>U18+J18+K18</f>
        <v>2710.5058773601004</v>
      </c>
      <c r="X18" s="389">
        <f>+W18+V18</f>
        <v>11008.590909725099</v>
      </c>
      <c r="Y18" s="429"/>
      <c r="AB18" s="270"/>
      <c r="AD18" s="382"/>
    </row>
    <row r="19" spans="1:32" hidden="1" x14ac:dyDescent="0.35">
      <c r="A19" s="402" t="s">
        <v>381</v>
      </c>
      <c r="B19" s="402" t="s">
        <v>375</v>
      </c>
      <c r="C19" s="402" t="s">
        <v>834</v>
      </c>
      <c r="D19" s="402" t="s">
        <v>836</v>
      </c>
      <c r="E19" s="400" t="s">
        <v>834</v>
      </c>
      <c r="F19" s="400" t="s">
        <v>836</v>
      </c>
      <c r="G19" s="400"/>
      <c r="H19" s="413"/>
      <c r="I19" s="408">
        <f t="shared" ref="I19:I21" si="1">SUM(J19:U19)</f>
        <v>81833.803750596315</v>
      </c>
      <c r="J19" s="477">
        <v>12186.253993356651</v>
      </c>
      <c r="K19" s="477">
        <v>12040.065725682029</v>
      </c>
      <c r="L19" s="477">
        <v>9075.3676572406548</v>
      </c>
      <c r="M19" s="477">
        <v>5282.4048992354292</v>
      </c>
      <c r="N19" s="477">
        <v>5282.4048992354292</v>
      </c>
      <c r="O19" s="477">
        <v>4406.7779098043657</v>
      </c>
      <c r="P19" s="477">
        <v>3158.2455235939701</v>
      </c>
      <c r="Q19" s="477">
        <v>4163.1418265556877</v>
      </c>
      <c r="R19" s="477">
        <v>5250.0704807795864</v>
      </c>
      <c r="S19" s="477">
        <v>5507.1051814010862</v>
      </c>
      <c r="T19" s="477">
        <v>6915.9424540363279</v>
      </c>
      <c r="U19" s="477">
        <v>8566.0231996750972</v>
      </c>
      <c r="V19" s="478">
        <f>SUM(L19:T19)</f>
        <v>49041.460831882534</v>
      </c>
      <c r="W19" s="478">
        <f>U19+J19+K19</f>
        <v>32792.342918713774</v>
      </c>
      <c r="X19" s="389">
        <f>+W19+V19</f>
        <v>81833.8037505963</v>
      </c>
      <c r="Y19" s="429"/>
      <c r="AB19" s="270"/>
      <c r="AD19" s="382"/>
    </row>
    <row r="20" spans="1:32" hidden="1" x14ac:dyDescent="0.35">
      <c r="A20" s="402" t="s">
        <v>383</v>
      </c>
      <c r="B20" s="402" t="s">
        <v>377</v>
      </c>
      <c r="C20" s="402" t="s">
        <v>832</v>
      </c>
      <c r="D20" s="402" t="s">
        <v>835</v>
      </c>
      <c r="E20" s="400" t="s">
        <v>832</v>
      </c>
      <c r="F20" s="400" t="s">
        <v>835</v>
      </c>
      <c r="G20" s="400"/>
      <c r="H20" s="413"/>
      <c r="I20" s="408">
        <f t="shared" si="1"/>
        <v>118250.09290727343</v>
      </c>
      <c r="J20" s="477">
        <v>14571.534293642357</v>
      </c>
      <c r="K20" s="477">
        <v>15285.47521934752</v>
      </c>
      <c r="L20" s="477">
        <v>11048.235825287378</v>
      </c>
      <c r="M20" s="477">
        <v>7900.0741933397449</v>
      </c>
      <c r="N20" s="477">
        <v>7900.0741933397449</v>
      </c>
      <c r="O20" s="477">
        <v>7166.2054938367864</v>
      </c>
      <c r="P20" s="477">
        <v>5180.6124315356956</v>
      </c>
      <c r="Q20" s="477">
        <v>7052.8282019323451</v>
      </c>
      <c r="R20" s="477">
        <v>8557.2616056616389</v>
      </c>
      <c r="S20" s="477">
        <v>9263.4284192459691</v>
      </c>
      <c r="T20" s="477">
        <v>10761.334662471243</v>
      </c>
      <c r="U20" s="477">
        <v>13563.028367633002</v>
      </c>
      <c r="V20" s="478">
        <f>SUM(L20:T20)</f>
        <v>74830.055026650545</v>
      </c>
      <c r="W20" s="478">
        <f>U20+J20+K20</f>
        <v>43420.037880622876</v>
      </c>
      <c r="X20" s="389">
        <f>+W20+V20</f>
        <v>118250.09290727341</v>
      </c>
      <c r="Y20" s="429"/>
      <c r="AB20" s="270"/>
      <c r="AD20" s="382"/>
    </row>
    <row r="21" spans="1:32" hidden="1" x14ac:dyDescent="0.35">
      <c r="A21" s="402" t="s">
        <v>379</v>
      </c>
      <c r="B21" s="402" t="s">
        <v>373</v>
      </c>
      <c r="C21" s="402" t="s">
        <v>833</v>
      </c>
      <c r="D21" s="402" t="s">
        <v>837</v>
      </c>
      <c r="E21" s="400" t="s">
        <v>833</v>
      </c>
      <c r="F21" s="400" t="s">
        <v>837</v>
      </c>
      <c r="G21" s="400"/>
      <c r="H21" s="413"/>
      <c r="I21" s="408">
        <f t="shared" si="1"/>
        <v>118911.80051920628</v>
      </c>
      <c r="J21" s="477">
        <v>12977.347666474079</v>
      </c>
      <c r="K21" s="477">
        <v>14383.667768427156</v>
      </c>
      <c r="L21" s="477">
        <v>11686.146687910968</v>
      </c>
      <c r="M21" s="477">
        <v>7478.0666461592291</v>
      </c>
      <c r="N21" s="477">
        <v>7478.0666461592291</v>
      </c>
      <c r="O21" s="477">
        <v>7264.5619836120004</v>
      </c>
      <c r="P21" s="477">
        <v>7458.0420701951025</v>
      </c>
      <c r="Q21" s="477">
        <v>7550.5819473263755</v>
      </c>
      <c r="R21" s="477">
        <v>8530.8780255339771</v>
      </c>
      <c r="S21" s="477">
        <v>11889.4217016943</v>
      </c>
      <c r="T21" s="477">
        <v>10136.522086004539</v>
      </c>
      <c r="U21" s="477">
        <v>12078.497289709328</v>
      </c>
      <c r="V21" s="478">
        <f>SUM(L21:T21)</f>
        <v>79472.287794595715</v>
      </c>
      <c r="W21" s="478">
        <f>U21+J21+K21</f>
        <v>39439.512724610562</v>
      </c>
      <c r="X21" s="389">
        <f>+W21+V21</f>
        <v>118911.80051920627</v>
      </c>
      <c r="Y21" s="429"/>
      <c r="AB21" s="270"/>
      <c r="AD21" s="382"/>
    </row>
    <row r="22" spans="1:32" x14ac:dyDescent="0.35">
      <c r="A22" s="400" t="s">
        <v>545</v>
      </c>
      <c r="B22" s="400"/>
      <c r="C22" s="400"/>
      <c r="D22" s="400"/>
      <c r="E22" s="400"/>
      <c r="F22" s="400"/>
      <c r="G22" s="400"/>
      <c r="H22" s="413">
        <v>780</v>
      </c>
      <c r="I22" s="408">
        <f>'Tariff Rand Values Old'!I26</f>
        <v>83104871.201844469</v>
      </c>
      <c r="J22" s="476"/>
      <c r="K22" s="476"/>
      <c r="L22" s="476"/>
      <c r="M22" s="476"/>
      <c r="N22" s="476"/>
      <c r="O22" s="476"/>
      <c r="P22" s="476"/>
      <c r="Q22" s="476"/>
      <c r="R22" s="476"/>
      <c r="S22" s="476"/>
      <c r="T22" s="476"/>
      <c r="U22" s="476"/>
      <c r="V22" s="389"/>
      <c r="W22" s="389"/>
      <c r="X22" s="389"/>
      <c r="Y22" s="429">
        <v>7.8899999999999998E-2</v>
      </c>
      <c r="AB22" s="270"/>
      <c r="AD22" s="473">
        <f>AD6+AD9+AD12</f>
        <v>144358</v>
      </c>
      <c r="AE22" s="247">
        <f>1019+38979+1971</f>
        <v>41969</v>
      </c>
      <c r="AF22" s="245" t="s">
        <v>1452</v>
      </c>
    </row>
    <row r="23" spans="1:32" hidden="1" x14ac:dyDescent="0.35">
      <c r="A23" s="403" t="s">
        <v>313</v>
      </c>
      <c r="B23" s="403" t="s">
        <v>311</v>
      </c>
      <c r="C23" s="403" t="s">
        <v>510</v>
      </c>
      <c r="D23" s="403" t="s">
        <v>514</v>
      </c>
      <c r="E23" s="400" t="s">
        <v>510</v>
      </c>
      <c r="F23" s="400" t="s">
        <v>514</v>
      </c>
      <c r="G23" s="400"/>
      <c r="H23" s="413"/>
      <c r="I23" s="408">
        <f>SUM(J23:U23)</f>
        <v>108619694.62935773</v>
      </c>
      <c r="J23" s="483">
        <v>7800615.8703705762</v>
      </c>
      <c r="K23" s="483">
        <v>7361282.7812357396</v>
      </c>
      <c r="L23" s="483">
        <v>7436824.1131326007</v>
      </c>
      <c r="M23" s="483">
        <v>7281122.9156922633</v>
      </c>
      <c r="N23" s="483">
        <v>7455080.66738592</v>
      </c>
      <c r="O23" s="483">
        <v>7484241.8359823879</v>
      </c>
      <c r="P23" s="483">
        <v>7640333.5403474271</v>
      </c>
      <c r="Q23" s="483">
        <v>7346316.8095500525</v>
      </c>
      <c r="R23" s="483">
        <v>7147084.6134984856</v>
      </c>
      <c r="S23" s="483">
        <v>6925219.2276820606</v>
      </c>
      <c r="T23" s="483">
        <v>25504013.617692828</v>
      </c>
      <c r="U23" s="483">
        <v>9237558.6367873866</v>
      </c>
      <c r="V23" s="484">
        <f>SUM(L23:T23)</f>
        <v>84220237.340964019</v>
      </c>
      <c r="W23" s="484">
        <f>U23+J23+K23</f>
        <v>24399457.288393702</v>
      </c>
      <c r="X23" s="389">
        <f>+W23+V23</f>
        <v>108619694.62935773</v>
      </c>
      <c r="Y23" s="429"/>
      <c r="AB23" s="270"/>
      <c r="AD23" s="382"/>
    </row>
    <row r="24" spans="1:32" x14ac:dyDescent="0.35">
      <c r="A24" s="400" t="s">
        <v>546</v>
      </c>
      <c r="B24" s="400"/>
      <c r="C24" s="400"/>
      <c r="D24" s="400"/>
      <c r="E24" s="400"/>
      <c r="F24" s="400"/>
      <c r="G24" s="400"/>
      <c r="H24" s="413">
        <v>2821</v>
      </c>
      <c r="I24" s="408">
        <f>'Tariff Rand Values Old'!I28</f>
        <v>26374477.544500001</v>
      </c>
      <c r="J24" s="476"/>
      <c r="K24" s="476"/>
      <c r="L24" s="476"/>
      <c r="M24" s="476"/>
      <c r="N24" s="476"/>
      <c r="O24" s="476"/>
      <c r="P24" s="476"/>
      <c r="Q24" s="476"/>
      <c r="R24" s="476"/>
      <c r="S24" s="476"/>
      <c r="T24" s="476"/>
      <c r="U24" s="476"/>
      <c r="V24" s="389"/>
      <c r="W24" s="389"/>
      <c r="X24" s="389"/>
      <c r="Y24" s="429">
        <v>0.18679999999999999</v>
      </c>
      <c r="AB24" s="270"/>
      <c r="AD24" s="382"/>
      <c r="AE24" s="247">
        <f>AD22-AE22</f>
        <v>102389</v>
      </c>
      <c r="AF24" s="245" t="s">
        <v>1468</v>
      </c>
    </row>
    <row r="25" spans="1:32" hidden="1" x14ac:dyDescent="0.35">
      <c r="A25" s="403" t="s">
        <v>313</v>
      </c>
      <c r="B25" s="403" t="s">
        <v>311</v>
      </c>
      <c r="C25" s="403" t="s">
        <v>510</v>
      </c>
      <c r="D25" s="403" t="s">
        <v>514</v>
      </c>
      <c r="E25" s="400" t="s">
        <v>510</v>
      </c>
      <c r="F25" s="400" t="s">
        <v>514</v>
      </c>
      <c r="G25" s="400"/>
      <c r="H25" s="413"/>
      <c r="I25" s="408">
        <f>SUM(J25:U25)</f>
        <v>155354321.92638198</v>
      </c>
      <c r="J25" s="477">
        <v>19396341.095117748</v>
      </c>
      <c r="K25" s="477">
        <v>23496371.323210806</v>
      </c>
      <c r="L25" s="477">
        <v>8507306.9308939129</v>
      </c>
      <c r="M25" s="477">
        <v>19662198.085259873</v>
      </c>
      <c r="N25" s="477">
        <v>14060727.683981908</v>
      </c>
      <c r="O25" s="477">
        <v>4340386.7716683475</v>
      </c>
      <c r="P25" s="477">
        <v>17622993.712560091</v>
      </c>
      <c r="Q25" s="477">
        <v>11060399.199514898</v>
      </c>
      <c r="R25" s="477">
        <v>10208078.099140782</v>
      </c>
      <c r="S25" s="477">
        <v>8187101.0494402088</v>
      </c>
      <c r="T25" s="477">
        <v>10409064.1347683</v>
      </c>
      <c r="U25" s="477">
        <v>8403353.8408251107</v>
      </c>
      <c r="V25" s="484">
        <f>SUM(L25:T25)</f>
        <v>104058255.66722831</v>
      </c>
      <c r="W25" s="484">
        <f>U25+J25+K25</f>
        <v>51296066.259153664</v>
      </c>
      <c r="X25" s="389">
        <f>+W25+V25</f>
        <v>155354321.92638198</v>
      </c>
      <c r="Y25" s="429"/>
      <c r="AB25" s="270"/>
      <c r="AD25" s="382"/>
    </row>
    <row r="26" spans="1:32" x14ac:dyDescent="0.35">
      <c r="A26" s="400" t="s">
        <v>1434</v>
      </c>
      <c r="B26" s="400"/>
      <c r="C26" s="400"/>
      <c r="D26" s="400"/>
      <c r="E26" s="400"/>
      <c r="F26" s="400"/>
      <c r="G26" s="400"/>
      <c r="H26" s="413">
        <v>406</v>
      </c>
      <c r="I26" s="408">
        <f>'Tariff Rand Values Old'!I30+'Tariff Rand Values Old'!I35</f>
        <v>70925646.268497691</v>
      </c>
      <c r="J26" s="476"/>
      <c r="K26" s="476"/>
      <c r="L26" s="476"/>
      <c r="M26" s="476"/>
      <c r="N26" s="476"/>
      <c r="O26" s="476"/>
      <c r="P26" s="476"/>
      <c r="Q26" s="476"/>
      <c r="R26" s="476"/>
      <c r="S26" s="476"/>
      <c r="T26" s="476"/>
      <c r="U26" s="476"/>
      <c r="V26" s="389"/>
      <c r="W26" s="389"/>
      <c r="X26" s="389"/>
      <c r="Y26" s="429">
        <v>7.9100000000000004E-2</v>
      </c>
      <c r="AB26" s="270"/>
      <c r="AD26" s="382"/>
      <c r="AE26" s="541">
        <f>SUM(AE22:AE24)</f>
        <v>144358</v>
      </c>
    </row>
    <row r="27" spans="1:32" hidden="1" x14ac:dyDescent="0.35">
      <c r="A27" s="390" t="s">
        <v>392</v>
      </c>
      <c r="B27" s="390" t="s">
        <v>392</v>
      </c>
      <c r="C27" s="390" t="s">
        <v>876</v>
      </c>
      <c r="D27" s="390" t="s">
        <v>876</v>
      </c>
      <c r="E27" s="400" t="s">
        <v>876</v>
      </c>
      <c r="F27" s="400" t="s">
        <v>876</v>
      </c>
      <c r="G27" s="400"/>
      <c r="H27" s="413"/>
      <c r="I27" s="408">
        <f>SUM(J27:U27)</f>
        <v>1227212.4259939874</v>
      </c>
      <c r="J27" s="477">
        <v>26614.245383002133</v>
      </c>
      <c r="K27" s="477">
        <v>27036.693722414868</v>
      </c>
      <c r="L27" s="477">
        <v>27036.693722414868</v>
      </c>
      <c r="M27" s="477">
        <v>27881.590401240333</v>
      </c>
      <c r="N27" s="477">
        <v>52383.594087178804</v>
      </c>
      <c r="O27" s="477">
        <v>64212.147590735316</v>
      </c>
      <c r="P27" s="477">
        <v>107301.87821083401</v>
      </c>
      <c r="Q27" s="477">
        <v>170246.68078333113</v>
      </c>
      <c r="R27" s="477">
        <v>173203.81915922023</v>
      </c>
      <c r="S27" s="477">
        <v>183342.57930512581</v>
      </c>
      <c r="T27" s="477">
        <v>183765.02764453855</v>
      </c>
      <c r="U27" s="477">
        <v>184187.4759839513</v>
      </c>
      <c r="V27" s="478">
        <f>SUM(L27:T27)</f>
        <v>989374.010904619</v>
      </c>
      <c r="W27" s="478">
        <f>U27+J27+K27</f>
        <v>237838.4150893683</v>
      </c>
      <c r="X27" s="389">
        <f>+W27+V27</f>
        <v>1227212.4259939874</v>
      </c>
      <c r="Y27" s="429"/>
      <c r="AB27" s="270"/>
      <c r="AD27" s="382"/>
    </row>
    <row r="28" spans="1:32" hidden="1" x14ac:dyDescent="0.35">
      <c r="A28" s="390" t="s">
        <v>396</v>
      </c>
      <c r="B28" s="390" t="s">
        <v>388</v>
      </c>
      <c r="C28" s="390" t="s">
        <v>864</v>
      </c>
      <c r="D28" s="390" t="s">
        <v>867</v>
      </c>
      <c r="E28" s="400" t="s">
        <v>864</v>
      </c>
      <c r="F28" s="400" t="s">
        <v>867</v>
      </c>
      <c r="G28" s="400"/>
      <c r="H28" s="413"/>
      <c r="I28" s="408">
        <f t="shared" ref="I28:I30" si="2">SUM(J28:U28)</f>
        <v>5124937.0116241984</v>
      </c>
      <c r="J28" s="477">
        <v>283658.15657240275</v>
      </c>
      <c r="K28" s="477">
        <v>260662.23356333008</v>
      </c>
      <c r="L28" s="477">
        <v>236601.10431133042</v>
      </c>
      <c r="M28" s="477">
        <v>187039.66156507301</v>
      </c>
      <c r="N28" s="477">
        <v>206239.3643709844</v>
      </c>
      <c r="O28" s="477">
        <v>255264.00500912318</v>
      </c>
      <c r="P28" s="477">
        <v>376315.78977322316</v>
      </c>
      <c r="Q28" s="477">
        <v>549074.7640641348</v>
      </c>
      <c r="R28" s="477">
        <v>569370.49700288987</v>
      </c>
      <c r="S28" s="477">
        <v>657012.53819640051</v>
      </c>
      <c r="T28" s="477">
        <v>728769.20711462479</v>
      </c>
      <c r="U28" s="477">
        <v>814929.69008068193</v>
      </c>
      <c r="V28" s="478">
        <f>SUM(L28:T28)</f>
        <v>3765686.9314077841</v>
      </c>
      <c r="W28" s="478">
        <f>U28+J28+K28</f>
        <v>1359250.0802164148</v>
      </c>
      <c r="X28" s="389">
        <f>+W28+V28</f>
        <v>5124937.0116241984</v>
      </c>
      <c r="Y28" s="429"/>
      <c r="AB28" s="270"/>
      <c r="AD28" s="382"/>
    </row>
    <row r="29" spans="1:32" hidden="1" x14ac:dyDescent="0.35">
      <c r="A29" s="390" t="s">
        <v>398</v>
      </c>
      <c r="B29" s="390" t="s">
        <v>390</v>
      </c>
      <c r="C29" s="390" t="s">
        <v>863</v>
      </c>
      <c r="D29" s="390" t="s">
        <v>866</v>
      </c>
      <c r="E29" s="400" t="s">
        <v>863</v>
      </c>
      <c r="F29" s="400" t="s">
        <v>866</v>
      </c>
      <c r="G29" s="400"/>
      <c r="H29" s="413"/>
      <c r="I29" s="408">
        <f t="shared" si="2"/>
        <v>8109232.5112519506</v>
      </c>
      <c r="J29" s="477">
        <v>472113.57027238561</v>
      </c>
      <c r="K29" s="477">
        <v>466102.70075613569</v>
      </c>
      <c r="L29" s="477">
        <v>422433.18154096568</v>
      </c>
      <c r="M29" s="477">
        <v>292696.21466450999</v>
      </c>
      <c r="N29" s="477">
        <v>337460.62717214134</v>
      </c>
      <c r="O29" s="477">
        <v>412042.73885487072</v>
      </c>
      <c r="P29" s="477">
        <v>599884.77772174228</v>
      </c>
      <c r="Q29" s="477">
        <v>870721.77911003178</v>
      </c>
      <c r="R29" s="477">
        <v>940665.58203219017</v>
      </c>
      <c r="S29" s="477">
        <v>996242.46021688683</v>
      </c>
      <c r="T29" s="477">
        <v>1101480.0064324911</v>
      </c>
      <c r="U29" s="477">
        <v>1197388.8724775999</v>
      </c>
      <c r="V29" s="478">
        <f>SUM(L29:T29)</f>
        <v>5973627.3677458297</v>
      </c>
      <c r="W29" s="478">
        <f>U29+J29+K29</f>
        <v>2135605.1435061214</v>
      </c>
      <c r="X29" s="389">
        <f>+W29+V29</f>
        <v>8109232.5112519506</v>
      </c>
      <c r="Y29" s="429"/>
      <c r="AB29" s="270"/>
      <c r="AD29" s="382"/>
    </row>
    <row r="30" spans="1:32" hidden="1" x14ac:dyDescent="0.35">
      <c r="A30" s="390" t="s">
        <v>394</v>
      </c>
      <c r="B30" s="390" t="s">
        <v>386</v>
      </c>
      <c r="C30" s="390" t="s">
        <v>865</v>
      </c>
      <c r="D30" s="390" t="s">
        <v>868</v>
      </c>
      <c r="E30" s="400" t="s">
        <v>865</v>
      </c>
      <c r="F30" s="400" t="s">
        <v>868</v>
      </c>
      <c r="G30" s="400"/>
      <c r="H30" s="413"/>
      <c r="I30" s="408">
        <f t="shared" si="2"/>
        <v>6077055.5744906357</v>
      </c>
      <c r="J30" s="477">
        <v>355467.90042093844</v>
      </c>
      <c r="K30" s="477">
        <v>396688.80465716368</v>
      </c>
      <c r="L30" s="477">
        <v>378173.43335986475</v>
      </c>
      <c r="M30" s="477">
        <v>196017.40606973966</v>
      </c>
      <c r="N30" s="477">
        <v>220445.50739720807</v>
      </c>
      <c r="O30" s="477">
        <v>387441.69858431857</v>
      </c>
      <c r="P30" s="477">
        <v>397330.26104277925</v>
      </c>
      <c r="Q30" s="477">
        <v>538743.08906556736</v>
      </c>
      <c r="R30" s="477">
        <v>857737.02026943967</v>
      </c>
      <c r="S30" s="477">
        <v>697087.78573696257</v>
      </c>
      <c r="T30" s="477">
        <v>795903.57584092987</v>
      </c>
      <c r="U30" s="477">
        <v>856019.09204572428</v>
      </c>
      <c r="V30" s="478">
        <f>SUM(L30:T30)</f>
        <v>4468879.7773668095</v>
      </c>
      <c r="W30" s="478">
        <f>U30+J30+K30</f>
        <v>1608175.7971238266</v>
      </c>
      <c r="X30" s="389">
        <f>+W30+V30</f>
        <v>6077055.5744906366</v>
      </c>
      <c r="Y30" s="429"/>
      <c r="AB30" s="270"/>
      <c r="AD30" s="382"/>
    </row>
    <row r="31" spans="1:32" hidden="1" x14ac:dyDescent="0.35">
      <c r="A31" s="400" t="s">
        <v>539</v>
      </c>
      <c r="B31" s="390"/>
      <c r="C31" s="390"/>
      <c r="D31" s="390"/>
      <c r="E31" s="390"/>
      <c r="F31" s="390"/>
      <c r="G31" s="390"/>
      <c r="H31" s="415"/>
      <c r="I31" s="408">
        <v>0</v>
      </c>
      <c r="J31" s="482"/>
      <c r="K31" s="482"/>
      <c r="L31" s="482"/>
      <c r="M31" s="482"/>
      <c r="N31" s="482"/>
      <c r="O31" s="482"/>
      <c r="P31" s="482"/>
      <c r="Q31" s="482"/>
      <c r="R31" s="482"/>
      <c r="S31" s="482"/>
      <c r="T31" s="482"/>
      <c r="U31" s="482"/>
      <c r="V31" s="389"/>
      <c r="W31" s="389"/>
      <c r="X31" s="389"/>
      <c r="Y31" s="429"/>
      <c r="AB31" s="270"/>
      <c r="AD31" s="382"/>
    </row>
    <row r="32" spans="1:32" hidden="1" x14ac:dyDescent="0.35">
      <c r="A32" s="390" t="s">
        <v>401</v>
      </c>
      <c r="B32" s="390" t="s">
        <v>401</v>
      </c>
      <c r="C32" s="390" t="s">
        <v>875</v>
      </c>
      <c r="D32" s="390" t="s">
        <v>875</v>
      </c>
      <c r="E32" s="400" t="s">
        <v>875</v>
      </c>
      <c r="F32" s="400" t="s">
        <v>875</v>
      </c>
      <c r="G32" s="400"/>
      <c r="H32" s="413"/>
      <c r="I32" s="408">
        <f>SUM(J32:U32)</f>
        <v>26486.599122172385</v>
      </c>
      <c r="J32" s="483">
        <v>574.40817373385903</v>
      </c>
      <c r="K32" s="483">
        <v>583.52576379312666</v>
      </c>
      <c r="L32" s="483">
        <v>583.52576379312666</v>
      </c>
      <c r="M32" s="483">
        <v>601.7609439116618</v>
      </c>
      <c r="N32" s="483">
        <v>1130.5811673491828</v>
      </c>
      <c r="O32" s="483">
        <v>1385.8736890086759</v>
      </c>
      <c r="P32" s="483">
        <v>2315.8678750539716</v>
      </c>
      <c r="Q32" s="483">
        <v>3674.3887938848443</v>
      </c>
      <c r="R32" s="483">
        <v>3738.2119242997173</v>
      </c>
      <c r="S32" s="483">
        <v>3957.0340857221399</v>
      </c>
      <c r="T32" s="483">
        <v>3966.1516757814074</v>
      </c>
      <c r="U32" s="483">
        <v>3975.2692658406754</v>
      </c>
      <c r="V32" s="478">
        <f t="shared" ref="V32:V42" si="3">SUM(L32:T32)</f>
        <v>21353.395918804727</v>
      </c>
      <c r="W32" s="478">
        <f t="shared" ref="W32:W42" si="4">U32+J32+K32</f>
        <v>5133.2032033676605</v>
      </c>
      <c r="X32" s="389">
        <f>+W32+V32</f>
        <v>26486.599122172389</v>
      </c>
      <c r="Y32" s="429"/>
      <c r="AB32" s="270"/>
      <c r="AD32" s="382"/>
    </row>
    <row r="33" spans="1:27" hidden="1" x14ac:dyDescent="0.35">
      <c r="A33" s="390" t="s">
        <v>403</v>
      </c>
      <c r="B33" s="390" t="s">
        <v>411</v>
      </c>
      <c r="C33" s="390" t="s">
        <v>871</v>
      </c>
      <c r="D33" s="390" t="s">
        <v>874</v>
      </c>
      <c r="E33" s="400" t="s">
        <v>871</v>
      </c>
      <c r="F33" s="400" t="s">
        <v>874</v>
      </c>
      <c r="G33" s="400"/>
      <c r="H33" s="413"/>
      <c r="I33" s="408">
        <f t="shared" ref="I33:I35" si="5">SUM(J33:U33)</f>
        <v>110610.15133001868</v>
      </c>
      <c r="J33" s="483">
        <v>6122.1184871741598</v>
      </c>
      <c r="K33" s="483">
        <v>5625.803602086261</v>
      </c>
      <c r="L33" s="483">
        <v>5106.4986542013758</v>
      </c>
      <c r="M33" s="483">
        <v>4036.8272280231581</v>
      </c>
      <c r="N33" s="483">
        <v>4451.2093029708858</v>
      </c>
      <c r="O33" s="483">
        <v>5509.295072139349</v>
      </c>
      <c r="P33" s="483">
        <v>8121.9235202853924</v>
      </c>
      <c r="Q33" s="483">
        <v>11850.534476204348</v>
      </c>
      <c r="R33" s="483">
        <v>12288.571877760214</v>
      </c>
      <c r="S33" s="483">
        <v>14180.126723663319</v>
      </c>
      <c r="T33" s="483">
        <v>15728.831808229314</v>
      </c>
      <c r="U33" s="483">
        <v>17588.410577280905</v>
      </c>
      <c r="V33" s="478">
        <f t="shared" si="3"/>
        <v>81273.818663477359</v>
      </c>
      <c r="W33" s="478">
        <f t="shared" si="4"/>
        <v>29336.332666541326</v>
      </c>
      <c r="X33" s="389">
        <f>+W33+V33</f>
        <v>110610.15133001868</v>
      </c>
      <c r="Y33" s="429"/>
    </row>
    <row r="34" spans="1:27" hidden="1" x14ac:dyDescent="0.35">
      <c r="A34" s="390" t="s">
        <v>405</v>
      </c>
      <c r="B34" s="390" t="s">
        <v>413</v>
      </c>
      <c r="C34" s="390" t="s">
        <v>870</v>
      </c>
      <c r="D34" s="390" t="s">
        <v>873</v>
      </c>
      <c r="E34" s="400" t="s">
        <v>870</v>
      </c>
      <c r="F34" s="400" t="s">
        <v>873</v>
      </c>
      <c r="G34" s="400"/>
      <c r="H34" s="416"/>
      <c r="I34" s="408">
        <f t="shared" si="5"/>
        <v>175019.406717668</v>
      </c>
      <c r="J34" s="483">
        <v>10189.501516670194</v>
      </c>
      <c r="K34" s="483">
        <v>10059.770519916598</v>
      </c>
      <c r="L34" s="483">
        <v>9117.2629109560949</v>
      </c>
      <c r="M34" s="483">
        <v>6317.1844891620867</v>
      </c>
      <c r="N34" s="483">
        <v>7283.3228886073675</v>
      </c>
      <c r="O34" s="483">
        <v>8893.0087522633967</v>
      </c>
      <c r="P34" s="483">
        <v>12947.153476008825</v>
      </c>
      <c r="Q34" s="483">
        <v>18792.556383669751</v>
      </c>
      <c r="R34" s="483">
        <v>20302.134864004103</v>
      </c>
      <c r="S34" s="483">
        <v>21501.635832019139</v>
      </c>
      <c r="T34" s="483">
        <v>23772.949779118513</v>
      </c>
      <c r="U34" s="483">
        <v>25842.925305271943</v>
      </c>
      <c r="V34" s="478">
        <f t="shared" si="3"/>
        <v>128927.20937580927</v>
      </c>
      <c r="W34" s="478">
        <f t="shared" si="4"/>
        <v>46092.197341858729</v>
      </c>
      <c r="X34" s="389">
        <f>+W34+V34</f>
        <v>175019.406717668</v>
      </c>
      <c r="Y34" s="429"/>
    </row>
    <row r="35" spans="1:27" hidden="1" x14ac:dyDescent="0.35">
      <c r="A35" s="390" t="s">
        <v>407</v>
      </c>
      <c r="B35" s="390" t="s">
        <v>409</v>
      </c>
      <c r="C35" s="390" t="s">
        <v>872</v>
      </c>
      <c r="D35" s="390" t="s">
        <v>869</v>
      </c>
      <c r="E35" s="400" t="s">
        <v>872</v>
      </c>
      <c r="F35" s="400" t="s">
        <v>869</v>
      </c>
      <c r="G35" s="400"/>
      <c r="H35" s="416"/>
      <c r="I35" s="408">
        <f t="shared" si="5"/>
        <v>131159.47283073314</v>
      </c>
      <c r="J35" s="483">
        <v>7671.9690738332038</v>
      </c>
      <c r="K35" s="483">
        <v>8561.6288774927416</v>
      </c>
      <c r="L35" s="483">
        <v>8162.0165473352099</v>
      </c>
      <c r="M35" s="483">
        <v>4230.5914979080499</v>
      </c>
      <c r="N35" s="483">
        <v>4757.8167064145628</v>
      </c>
      <c r="O35" s="483">
        <v>8362.0510485824161</v>
      </c>
      <c r="P35" s="483">
        <v>8575.4732599160998</v>
      </c>
      <c r="Q35" s="483">
        <v>11627.548684868361</v>
      </c>
      <c r="R35" s="483">
        <v>18512.309789987907</v>
      </c>
      <c r="S35" s="483">
        <v>15045.060123819336</v>
      </c>
      <c r="T35" s="483">
        <v>17177.775018149565</v>
      </c>
      <c r="U35" s="483">
        <v>18475.232202425705</v>
      </c>
      <c r="V35" s="478">
        <f t="shared" si="3"/>
        <v>96450.642676981501</v>
      </c>
      <c r="W35" s="478">
        <f t="shared" si="4"/>
        <v>34708.830153751653</v>
      </c>
      <c r="X35" s="389">
        <f>+W35+V35</f>
        <v>131159.47283073317</v>
      </c>
      <c r="Y35" s="429"/>
    </row>
    <row r="36" spans="1:27" s="330" customFormat="1" x14ac:dyDescent="0.35">
      <c r="A36" s="400" t="s">
        <v>254</v>
      </c>
      <c r="B36" s="400"/>
      <c r="C36" s="400"/>
      <c r="D36" s="400"/>
      <c r="E36" s="404"/>
      <c r="F36" s="404"/>
      <c r="G36" s="404"/>
      <c r="H36" s="416">
        <v>4</v>
      </c>
      <c r="I36" s="408">
        <f>'Tariff Rand Values Old'!I40</f>
        <v>123330317.31188478</v>
      </c>
      <c r="J36" s="485"/>
      <c r="K36" s="485"/>
      <c r="L36" s="485"/>
      <c r="M36" s="485"/>
      <c r="N36" s="485"/>
      <c r="O36" s="485"/>
      <c r="P36" s="485"/>
      <c r="Q36" s="485"/>
      <c r="R36" s="485"/>
      <c r="S36" s="485"/>
      <c r="T36" s="485"/>
      <c r="U36" s="485"/>
      <c r="V36" s="486"/>
      <c r="W36" s="437"/>
      <c r="X36" s="487"/>
      <c r="Y36" s="429">
        <v>9.0399999999999994E-2</v>
      </c>
      <c r="Z36" s="245"/>
      <c r="AA36" s="245"/>
    </row>
    <row r="37" spans="1:27" hidden="1" x14ac:dyDescent="0.35">
      <c r="A37" s="390" t="s">
        <v>256</v>
      </c>
      <c r="B37" s="390" t="s">
        <v>256</v>
      </c>
      <c r="C37" s="390" t="s">
        <v>862</v>
      </c>
      <c r="D37" s="405" t="s">
        <v>1382</v>
      </c>
      <c r="E37" s="400" t="s">
        <v>862</v>
      </c>
      <c r="F37" s="400" t="s">
        <v>862</v>
      </c>
      <c r="G37" s="400"/>
      <c r="H37" s="416"/>
      <c r="I37" s="408">
        <v>145004.37468549117</v>
      </c>
      <c r="J37" s="477">
        <v>12083.697890457597</v>
      </c>
      <c r="K37" s="477">
        <v>12083.697890457597</v>
      </c>
      <c r="L37" s="477">
        <v>12083.697890457597</v>
      </c>
      <c r="M37" s="477">
        <v>12083.697890457597</v>
      </c>
      <c r="N37" s="477">
        <v>12083.697890457597</v>
      </c>
      <c r="O37" s="477">
        <v>12083.697890457597</v>
      </c>
      <c r="P37" s="477">
        <v>12083.697890457597</v>
      </c>
      <c r="Q37" s="477">
        <v>12083.697890457597</v>
      </c>
      <c r="R37" s="477">
        <v>12083.697890457597</v>
      </c>
      <c r="S37" s="477">
        <v>12083.697890457597</v>
      </c>
      <c r="T37" s="477">
        <v>12083.697890457597</v>
      </c>
      <c r="U37" s="477">
        <v>12083.697890457597</v>
      </c>
      <c r="V37" s="478">
        <f t="shared" si="3"/>
        <v>108753.28101411837</v>
      </c>
      <c r="W37" s="478">
        <f t="shared" si="4"/>
        <v>36251.093671372793</v>
      </c>
      <c r="X37" s="389">
        <f t="shared" ref="X37:X42" si="6">+W37+V37</f>
        <v>145004.37468549117</v>
      </c>
      <c r="Y37" s="429"/>
    </row>
    <row r="38" spans="1:27" hidden="1" x14ac:dyDescent="0.35">
      <c r="A38" s="390" t="s">
        <v>256</v>
      </c>
      <c r="B38" s="390" t="s">
        <v>256</v>
      </c>
      <c r="C38" s="390" t="s">
        <v>862</v>
      </c>
      <c r="D38" s="390" t="s">
        <v>862</v>
      </c>
      <c r="E38" s="400" t="s">
        <v>862</v>
      </c>
      <c r="F38" s="400" t="s">
        <v>862</v>
      </c>
      <c r="G38" s="400"/>
      <c r="H38" s="413"/>
      <c r="I38" s="408">
        <v>17069316.120625541</v>
      </c>
      <c r="J38" s="477">
        <v>1491771.3410666001</v>
      </c>
      <c r="K38" s="477">
        <v>1408904.2357832904</v>
      </c>
      <c r="L38" s="477">
        <v>1408904.2357832904</v>
      </c>
      <c r="M38" s="477">
        <v>1408904.2357832904</v>
      </c>
      <c r="N38" s="477">
        <v>1412826.9389919681</v>
      </c>
      <c r="O38" s="477">
        <v>1412826.9389919681</v>
      </c>
      <c r="P38" s="477">
        <v>1418057.209936871</v>
      </c>
      <c r="Q38" s="477">
        <v>1418547.5478379559</v>
      </c>
      <c r="R38" s="477">
        <v>1418547.5478379559</v>
      </c>
      <c r="S38" s="477">
        <v>1418547.5478379559</v>
      </c>
      <c r="T38" s="477">
        <v>1418547.5478379559</v>
      </c>
      <c r="U38" s="477">
        <v>1432930.7929364394</v>
      </c>
      <c r="V38" s="478">
        <f t="shared" si="3"/>
        <v>12735709.750839213</v>
      </c>
      <c r="W38" s="478">
        <f t="shared" si="4"/>
        <v>4333606.3697863296</v>
      </c>
      <c r="X38" s="389">
        <f t="shared" si="6"/>
        <v>17069316.120625541</v>
      </c>
      <c r="Y38" s="429"/>
    </row>
    <row r="39" spans="1:27" hidden="1" x14ac:dyDescent="0.35">
      <c r="A39" s="390" t="s">
        <v>257</v>
      </c>
      <c r="B39" s="390" t="s">
        <v>257</v>
      </c>
      <c r="C39" s="390" t="s">
        <v>861</v>
      </c>
      <c r="D39" s="405" t="s">
        <v>1385</v>
      </c>
      <c r="E39" s="400" t="s">
        <v>861</v>
      </c>
      <c r="F39" s="400" t="s">
        <v>861</v>
      </c>
      <c r="G39" s="400"/>
      <c r="H39" s="413"/>
      <c r="I39" s="408">
        <v>38385064.231795259</v>
      </c>
      <c r="J39" s="477">
        <v>3586865.3360943501</v>
      </c>
      <c r="K39" s="477">
        <v>3519435.1335593839</v>
      </c>
      <c r="L39" s="477">
        <v>3279215.0370285669</v>
      </c>
      <c r="M39" s="477">
        <v>3040680.6955611249</v>
      </c>
      <c r="N39" s="477">
        <v>3113589.6020520572</v>
      </c>
      <c r="O39" s="477">
        <v>2840918.7205512878</v>
      </c>
      <c r="P39" s="477">
        <v>3082824.5721454788</v>
      </c>
      <c r="Q39" s="477">
        <v>3182705.5596503974</v>
      </c>
      <c r="R39" s="477">
        <v>2929842.3001442747</v>
      </c>
      <c r="S39" s="477">
        <v>2844290.2306780363</v>
      </c>
      <c r="T39" s="477">
        <v>3397217.8914647577</v>
      </c>
      <c r="U39" s="477">
        <v>3567479.1528655468</v>
      </c>
      <c r="V39" s="478">
        <f t="shared" si="3"/>
        <v>27711284.609275982</v>
      </c>
      <c r="W39" s="478">
        <f t="shared" si="4"/>
        <v>10673779.622519281</v>
      </c>
      <c r="X39" s="389">
        <f t="shared" si="6"/>
        <v>38385064.231795266</v>
      </c>
      <c r="Y39" s="429"/>
    </row>
    <row r="40" spans="1:27" hidden="1" x14ac:dyDescent="0.35">
      <c r="A40" s="390" t="s">
        <v>435</v>
      </c>
      <c r="B40" s="390" t="s">
        <v>258</v>
      </c>
      <c r="C40" s="390" t="s">
        <v>857</v>
      </c>
      <c r="D40" s="390" t="s">
        <v>859</v>
      </c>
      <c r="E40" s="400" t="s">
        <v>857</v>
      </c>
      <c r="F40" s="400" t="s">
        <v>859</v>
      </c>
      <c r="G40" s="400"/>
      <c r="H40" s="413"/>
      <c r="I40" s="408">
        <v>53718302.317213148</v>
      </c>
      <c r="J40" s="477">
        <v>7868224.5231162691</v>
      </c>
      <c r="K40" s="477">
        <v>7399152.0420944169</v>
      </c>
      <c r="L40" s="477">
        <v>6165404.9992181566</v>
      </c>
      <c r="M40" s="477">
        <v>3873568.3989295149</v>
      </c>
      <c r="N40" s="477">
        <v>3638672.6531361225</v>
      </c>
      <c r="O40" s="477">
        <v>2738635.251033789</v>
      </c>
      <c r="P40" s="477">
        <v>3519097.3280931883</v>
      </c>
      <c r="Q40" s="477">
        <v>3669228.7060208069</v>
      </c>
      <c r="R40" s="477">
        <v>3324607.5300478204</v>
      </c>
      <c r="S40" s="477">
        <v>3479770.7494487702</v>
      </c>
      <c r="T40" s="477">
        <v>3932954.5570018147</v>
      </c>
      <c r="U40" s="477">
        <v>4108985.5790724759</v>
      </c>
      <c r="V40" s="478">
        <f t="shared" si="3"/>
        <v>34341940.17292998</v>
      </c>
      <c r="W40" s="478">
        <f t="shared" si="4"/>
        <v>19376362.144283161</v>
      </c>
      <c r="X40" s="389">
        <f t="shared" si="6"/>
        <v>53718302.31721314</v>
      </c>
      <c r="Y40" s="429"/>
    </row>
    <row r="41" spans="1:27" hidden="1" x14ac:dyDescent="0.35">
      <c r="A41" s="390" t="s">
        <v>438</v>
      </c>
      <c r="B41" s="390" t="s">
        <v>259</v>
      </c>
      <c r="C41" s="390" t="s">
        <v>856</v>
      </c>
      <c r="D41" s="390" t="s">
        <v>858</v>
      </c>
      <c r="E41" s="400" t="s">
        <v>856</v>
      </c>
      <c r="F41" s="400" t="s">
        <v>858</v>
      </c>
      <c r="G41" s="400"/>
      <c r="H41" s="413"/>
      <c r="I41" s="408">
        <v>59018910.817030072</v>
      </c>
      <c r="J41" s="477">
        <v>8220952.9165381622</v>
      </c>
      <c r="K41" s="477">
        <v>8023058.6262213411</v>
      </c>
      <c r="L41" s="477">
        <v>6379446.8350417288</v>
      </c>
      <c r="M41" s="477">
        <v>4376863.0465265652</v>
      </c>
      <c r="N41" s="477">
        <v>4200307.2718877476</v>
      </c>
      <c r="O41" s="477">
        <v>2675961.642584899</v>
      </c>
      <c r="P41" s="477">
        <v>3926650.9407348316</v>
      </c>
      <c r="Q41" s="477">
        <v>4216041.3163703494</v>
      </c>
      <c r="R41" s="477">
        <v>3791085.5943467817</v>
      </c>
      <c r="S41" s="477">
        <v>3768559.630445444</v>
      </c>
      <c r="T41" s="477">
        <v>4569869.6008630265</v>
      </c>
      <c r="U41" s="477">
        <v>4870113.3954691878</v>
      </c>
      <c r="V41" s="478">
        <f t="shared" si="3"/>
        <v>37904785.878801368</v>
      </c>
      <c r="W41" s="478">
        <f t="shared" si="4"/>
        <v>21114124.938228689</v>
      </c>
      <c r="X41" s="389">
        <f t="shared" si="6"/>
        <v>59018910.817030057</v>
      </c>
      <c r="Y41" s="429"/>
    </row>
    <row r="42" spans="1:27" hidden="1" x14ac:dyDescent="0.35">
      <c r="A42" s="390" t="s">
        <v>491</v>
      </c>
      <c r="B42" s="390" t="s">
        <v>260</v>
      </c>
      <c r="C42" s="390" t="s">
        <v>490</v>
      </c>
      <c r="D42" s="390" t="s">
        <v>860</v>
      </c>
      <c r="E42" s="400" t="s">
        <v>490</v>
      </c>
      <c r="F42" s="400" t="s">
        <v>860</v>
      </c>
      <c r="G42" s="400"/>
      <c r="H42" s="413"/>
      <c r="I42" s="408">
        <v>52241266.875177413</v>
      </c>
      <c r="J42" s="477">
        <v>6805414.6771363607</v>
      </c>
      <c r="K42" s="477">
        <v>7245195.75037097</v>
      </c>
      <c r="L42" s="477">
        <v>5855833.6293812478</v>
      </c>
      <c r="M42" s="477">
        <v>3261723.2455306118</v>
      </c>
      <c r="N42" s="477">
        <v>3417287.1895993608</v>
      </c>
      <c r="O42" s="477">
        <v>3129006.2368842489</v>
      </c>
      <c r="P42" s="477">
        <v>3221032.3059427063</v>
      </c>
      <c r="Q42" s="477">
        <v>3368586.3756157476</v>
      </c>
      <c r="R42" s="477">
        <v>4096409.185795343</v>
      </c>
      <c r="S42" s="477">
        <v>3264477.4499142496</v>
      </c>
      <c r="T42" s="477">
        <v>4064816.8413947946</v>
      </c>
      <c r="U42" s="477">
        <v>4511483.9876117716</v>
      </c>
      <c r="V42" s="478">
        <f t="shared" si="3"/>
        <v>33679172.460058309</v>
      </c>
      <c r="W42" s="478">
        <f t="shared" si="4"/>
        <v>18562094.415119104</v>
      </c>
      <c r="X42" s="389">
        <f t="shared" si="6"/>
        <v>52241266.875177413</v>
      </c>
      <c r="Y42" s="429"/>
    </row>
    <row r="43" spans="1:27" x14ac:dyDescent="0.35">
      <c r="A43" s="400" t="s">
        <v>261</v>
      </c>
      <c r="B43" s="400"/>
      <c r="C43" s="400"/>
      <c r="D43" s="400"/>
      <c r="E43" s="400"/>
      <c r="F43" s="400"/>
      <c r="G43" s="400"/>
      <c r="H43" s="413">
        <v>158</v>
      </c>
      <c r="I43" s="408">
        <f>'Tariff Rand Values Old'!I47</f>
        <v>819501809.94078648</v>
      </c>
      <c r="J43" s="476"/>
      <c r="K43" s="476"/>
      <c r="L43" s="476"/>
      <c r="M43" s="476"/>
      <c r="N43" s="476"/>
      <c r="O43" s="476"/>
      <c r="P43" s="476"/>
      <c r="Q43" s="476"/>
      <c r="R43" s="476"/>
      <c r="S43" s="476"/>
      <c r="T43" s="476"/>
      <c r="U43" s="476"/>
      <c r="V43" s="389"/>
      <c r="W43" s="389"/>
      <c r="X43" s="389"/>
      <c r="Y43" s="429">
        <v>0.22170000000000001</v>
      </c>
    </row>
    <row r="44" spans="1:27" hidden="1" x14ac:dyDescent="0.35">
      <c r="A44" s="390" t="s">
        <v>262</v>
      </c>
      <c r="B44" s="390" t="s">
        <v>262</v>
      </c>
      <c r="C44" s="390" t="s">
        <v>854</v>
      </c>
      <c r="D44" s="405" t="s">
        <v>1383</v>
      </c>
      <c r="E44" s="400" t="s">
        <v>854</v>
      </c>
      <c r="F44" s="400" t="s">
        <v>854</v>
      </c>
      <c r="G44" s="400"/>
      <c r="H44" s="413"/>
      <c r="I44" s="408">
        <f>SUM(J44:U44)</f>
        <v>3683521.4330098545</v>
      </c>
      <c r="J44" s="477">
        <v>302093.06448959996</v>
      </c>
      <c r="K44" s="477">
        <v>302093.06448959996</v>
      </c>
      <c r="L44" s="477">
        <v>306120.9720161279</v>
      </c>
      <c r="M44" s="477">
        <v>306120.9720161279</v>
      </c>
      <c r="N44" s="477">
        <v>306120.9720161279</v>
      </c>
      <c r="O44" s="477">
        <v>306120.9720161279</v>
      </c>
      <c r="P44" s="477">
        <v>308134.92577939195</v>
      </c>
      <c r="Q44" s="477">
        <v>308134.92577939195</v>
      </c>
      <c r="R44" s="477">
        <v>310148.87954265595</v>
      </c>
      <c r="S44" s="477">
        <v>310148.87954265595</v>
      </c>
      <c r="T44" s="477">
        <v>310148.87954265595</v>
      </c>
      <c r="U44" s="477">
        <v>308134.92577939195</v>
      </c>
      <c r="V44" s="478">
        <f t="shared" ref="V44:V49" si="7">SUM(L44:T44)</f>
        <v>2771200.3782512629</v>
      </c>
      <c r="W44" s="478">
        <f t="shared" ref="W44:W49" si="8">U44+J44+K44</f>
        <v>912321.05475859181</v>
      </c>
      <c r="X44" s="389">
        <f t="shared" ref="X44:X49" si="9">+W44+V44</f>
        <v>3683521.4330098545</v>
      </c>
      <c r="Y44" s="429"/>
    </row>
    <row r="45" spans="1:27" hidden="1" x14ac:dyDescent="0.35">
      <c r="A45" s="390" t="s">
        <v>262</v>
      </c>
      <c r="B45" s="390" t="s">
        <v>262</v>
      </c>
      <c r="C45" s="390" t="s">
        <v>854</v>
      </c>
      <c r="D45" s="390" t="s">
        <v>854</v>
      </c>
      <c r="E45" s="400" t="s">
        <v>854</v>
      </c>
      <c r="F45" s="400" t="s">
        <v>854</v>
      </c>
      <c r="G45" s="400"/>
      <c r="H45" s="413"/>
      <c r="I45" s="408">
        <f t="shared" ref="I45:I49" si="10">SUM(J45:U45)</f>
        <v>57587409.180839561</v>
      </c>
      <c r="J45" s="477">
        <v>4832487.6408668151</v>
      </c>
      <c r="K45" s="477">
        <v>4772909.0261164028</v>
      </c>
      <c r="L45" s="477">
        <v>4796299.1489443425</v>
      </c>
      <c r="M45" s="477">
        <v>4803007.259642167</v>
      </c>
      <c r="N45" s="477">
        <v>4809715.3703399906</v>
      </c>
      <c r="O45" s="477">
        <v>4816423.4810378151</v>
      </c>
      <c r="P45" s="477">
        <v>4821101.5056034029</v>
      </c>
      <c r="Q45" s="477">
        <v>4794092.5335832164</v>
      </c>
      <c r="R45" s="477">
        <v>4791444.5951498644</v>
      </c>
      <c r="S45" s="477">
        <v>4791444.5951498644</v>
      </c>
      <c r="T45" s="477">
        <v>4784648.2198375948</v>
      </c>
      <c r="U45" s="477">
        <v>4773835.8045680756</v>
      </c>
      <c r="V45" s="478">
        <f t="shared" si="7"/>
        <v>43208176.709288254</v>
      </c>
      <c r="W45" s="478">
        <f t="shared" si="8"/>
        <v>14379232.471551294</v>
      </c>
      <c r="X45" s="389">
        <f t="shared" si="9"/>
        <v>57587409.180839546</v>
      </c>
      <c r="Y45" s="429"/>
    </row>
    <row r="46" spans="1:27" hidden="1" x14ac:dyDescent="0.35">
      <c r="A46" s="390" t="s">
        <v>263</v>
      </c>
      <c r="B46" s="390" t="s">
        <v>263</v>
      </c>
      <c r="C46" s="390" t="s">
        <v>853</v>
      </c>
      <c r="D46" s="405" t="s">
        <v>1384</v>
      </c>
      <c r="E46" s="400" t="s">
        <v>853</v>
      </c>
      <c r="F46" s="400" t="s">
        <v>853</v>
      </c>
      <c r="G46" s="400"/>
      <c r="H46" s="413"/>
      <c r="I46" s="408">
        <f t="shared" si="10"/>
        <v>122261952.53329428</v>
      </c>
      <c r="J46" s="477">
        <v>9933733.1496980302</v>
      </c>
      <c r="K46" s="477">
        <v>10121484.119881324</v>
      </c>
      <c r="L46" s="477">
        <v>10118070.465877993</v>
      </c>
      <c r="M46" s="477">
        <v>9996999.5372264609</v>
      </c>
      <c r="N46" s="477">
        <v>10585058.333533898</v>
      </c>
      <c r="O46" s="477">
        <v>10100774.618927773</v>
      </c>
      <c r="P46" s="477">
        <v>10811383.593954854</v>
      </c>
      <c r="Q46" s="477">
        <v>10654696.875201885</v>
      </c>
      <c r="R46" s="477">
        <v>10146062.428705322</v>
      </c>
      <c r="S46" s="477">
        <v>9795593.9510298353</v>
      </c>
      <c r="T46" s="477">
        <v>9865687.6465649325</v>
      </c>
      <c r="U46" s="477">
        <v>10132407.81269199</v>
      </c>
      <c r="V46" s="478">
        <f t="shared" si="7"/>
        <v>92074327.451022953</v>
      </c>
      <c r="W46" s="478">
        <f t="shared" si="8"/>
        <v>30187625.082271345</v>
      </c>
      <c r="X46" s="389">
        <f t="shared" si="9"/>
        <v>122261952.53329429</v>
      </c>
      <c r="Y46" s="429"/>
    </row>
    <row r="47" spans="1:27" hidden="1" x14ac:dyDescent="0.35">
      <c r="A47" s="390" t="s">
        <v>423</v>
      </c>
      <c r="B47" s="390" t="s">
        <v>264</v>
      </c>
      <c r="C47" s="390" t="s">
        <v>849</v>
      </c>
      <c r="D47" s="390" t="s">
        <v>852</v>
      </c>
      <c r="E47" s="400" t="s">
        <v>849</v>
      </c>
      <c r="F47" s="400" t="s">
        <v>852</v>
      </c>
      <c r="G47" s="400"/>
      <c r="H47" s="413"/>
      <c r="I47" s="408">
        <f t="shared" si="10"/>
        <v>112615424.81373534</v>
      </c>
      <c r="J47" s="477">
        <v>16922783.255950537</v>
      </c>
      <c r="K47" s="477">
        <v>15711015.453060092</v>
      </c>
      <c r="L47" s="477">
        <v>14054687.987533472</v>
      </c>
      <c r="M47" s="477">
        <v>8004339.6071030758</v>
      </c>
      <c r="N47" s="477">
        <v>7753064.6603272976</v>
      </c>
      <c r="O47" s="477">
        <v>6486746.6474333778</v>
      </c>
      <c r="P47" s="477">
        <v>8256131.0701544415</v>
      </c>
      <c r="Q47" s="477">
        <v>7505895.9498004653</v>
      </c>
      <c r="R47" s="477">
        <v>6329060.6338429721</v>
      </c>
      <c r="S47" s="477">
        <v>6986606.2952645812</v>
      </c>
      <c r="T47" s="477">
        <v>7146113.0627974318</v>
      </c>
      <c r="U47" s="477">
        <v>7458980.1904676007</v>
      </c>
      <c r="V47" s="478">
        <f t="shared" si="7"/>
        <v>72522645.914257124</v>
      </c>
      <c r="W47" s="478">
        <f t="shared" si="8"/>
        <v>40092778.899478227</v>
      </c>
      <c r="X47" s="389">
        <f t="shared" si="9"/>
        <v>112615424.81373535</v>
      </c>
      <c r="Y47" s="429"/>
    </row>
    <row r="48" spans="1:27" hidden="1" x14ac:dyDescent="0.35">
      <c r="A48" s="390" t="s">
        <v>425</v>
      </c>
      <c r="B48" s="390" t="s">
        <v>265</v>
      </c>
      <c r="C48" s="390" t="s">
        <v>848</v>
      </c>
      <c r="D48" s="390" t="s">
        <v>851</v>
      </c>
      <c r="E48" s="400" t="s">
        <v>848</v>
      </c>
      <c r="F48" s="400" t="s">
        <v>851</v>
      </c>
      <c r="G48" s="400"/>
      <c r="H48" s="413"/>
      <c r="I48" s="408">
        <f t="shared" si="10"/>
        <v>176886271.10632285</v>
      </c>
      <c r="J48" s="477">
        <v>21322687.77533767</v>
      </c>
      <c r="K48" s="477">
        <v>20954408.174862329</v>
      </c>
      <c r="L48" s="477">
        <v>18926959.552372403</v>
      </c>
      <c r="M48" s="477">
        <v>13719455.37923383</v>
      </c>
      <c r="N48" s="477">
        <v>13765043.151935371</v>
      </c>
      <c r="O48" s="477">
        <v>11469363.390877923</v>
      </c>
      <c r="P48" s="477">
        <v>14404601.342929598</v>
      </c>
      <c r="Q48" s="477">
        <v>13165220.249309378</v>
      </c>
      <c r="R48" s="477">
        <v>11745107.450360266</v>
      </c>
      <c r="S48" s="477">
        <v>12185346.128750933</v>
      </c>
      <c r="T48" s="477">
        <v>12569965.490810582</v>
      </c>
      <c r="U48" s="477">
        <v>12658113.019542599</v>
      </c>
      <c r="V48" s="478">
        <f t="shared" si="7"/>
        <v>121951062.13658029</v>
      </c>
      <c r="W48" s="478">
        <f t="shared" si="8"/>
        <v>54935208.969742596</v>
      </c>
      <c r="X48" s="389">
        <f t="shared" si="9"/>
        <v>176886271.10632288</v>
      </c>
      <c r="Y48" s="429"/>
    </row>
    <row r="49" spans="1:25" hidden="1" x14ac:dyDescent="0.35">
      <c r="A49" s="390" t="s">
        <v>421</v>
      </c>
      <c r="B49" s="390" t="s">
        <v>266</v>
      </c>
      <c r="C49" s="390" t="s">
        <v>850</v>
      </c>
      <c r="D49" s="390" t="s">
        <v>855</v>
      </c>
      <c r="E49" s="400" t="s">
        <v>850</v>
      </c>
      <c r="F49" s="400" t="s">
        <v>855</v>
      </c>
      <c r="G49" s="400"/>
      <c r="H49" s="413"/>
      <c r="I49" s="408">
        <f t="shared" si="10"/>
        <v>149001596.07684308</v>
      </c>
      <c r="J49" s="477">
        <v>16433131.515066776</v>
      </c>
      <c r="K49" s="477">
        <v>17528271.637590829</v>
      </c>
      <c r="L49" s="477">
        <v>17020753.707169082</v>
      </c>
      <c r="M49" s="477">
        <v>10157813.112407798</v>
      </c>
      <c r="N49" s="477">
        <v>10657738.664800474</v>
      </c>
      <c r="O49" s="477">
        <v>12155055.058433264</v>
      </c>
      <c r="P49" s="477">
        <v>11136717.177278206</v>
      </c>
      <c r="Q49" s="477">
        <v>10040145.343276184</v>
      </c>
      <c r="R49" s="477">
        <v>12698606.586704129</v>
      </c>
      <c r="S49" s="477">
        <v>9752810.0308115501</v>
      </c>
      <c r="T49" s="477">
        <v>10450872.584101208</v>
      </c>
      <c r="U49" s="477">
        <v>10969680.659203596</v>
      </c>
      <c r="V49" s="478">
        <f t="shared" si="7"/>
        <v>104070512.2649819</v>
      </c>
      <c r="W49" s="478">
        <f t="shared" si="8"/>
        <v>44931083.811861202</v>
      </c>
      <c r="X49" s="389">
        <f t="shared" si="9"/>
        <v>149001596.07684308</v>
      </c>
      <c r="Y49" s="429"/>
    </row>
    <row r="50" spans="1:25" x14ac:dyDescent="0.35">
      <c r="A50" s="400" t="s">
        <v>267</v>
      </c>
      <c r="B50" s="400"/>
      <c r="C50" s="400"/>
      <c r="D50" s="400"/>
      <c r="E50" s="400"/>
      <c r="F50" s="400"/>
      <c r="G50" s="400"/>
      <c r="H50" s="413">
        <v>491</v>
      </c>
      <c r="I50" s="408">
        <f>'Tariff Rand Values Old'!I54</f>
        <v>405999685.34575391</v>
      </c>
      <c r="J50" s="476"/>
      <c r="K50" s="476"/>
      <c r="L50" s="476"/>
      <c r="M50" s="476"/>
      <c r="N50" s="476"/>
      <c r="O50" s="476"/>
      <c r="P50" s="476"/>
      <c r="Q50" s="476"/>
      <c r="R50" s="476"/>
      <c r="S50" s="476"/>
      <c r="T50" s="476"/>
      <c r="U50" s="476"/>
      <c r="V50" s="389"/>
      <c r="W50" s="389"/>
      <c r="X50" s="389"/>
      <c r="Y50" s="429">
        <v>0.1928</v>
      </c>
    </row>
    <row r="51" spans="1:25" hidden="1" x14ac:dyDescent="0.35">
      <c r="A51" s="390" t="s">
        <v>268</v>
      </c>
      <c r="B51" s="390" t="s">
        <v>268</v>
      </c>
      <c r="C51" s="390" t="s">
        <v>847</v>
      </c>
      <c r="D51" s="405" t="s">
        <v>1386</v>
      </c>
      <c r="E51" s="400" t="s">
        <v>847</v>
      </c>
      <c r="F51" s="400" t="s">
        <v>847</v>
      </c>
      <c r="G51" s="400"/>
      <c r="H51" s="413"/>
      <c r="I51" s="408">
        <f>SUM(J51:U51)</f>
        <v>8822573.8699735254</v>
      </c>
      <c r="J51" s="477">
        <v>726529.36679631332</v>
      </c>
      <c r="K51" s="477">
        <v>729550.2789243646</v>
      </c>
      <c r="L51" s="477">
        <v>734081.6471164414</v>
      </c>
      <c r="M51" s="477">
        <v>735592.10318046692</v>
      </c>
      <c r="N51" s="477">
        <v>734081.6471164414</v>
      </c>
      <c r="O51" s="477">
        <v>732571.19105241576</v>
      </c>
      <c r="P51" s="477">
        <v>737102.55924449256</v>
      </c>
      <c r="Q51" s="477">
        <v>735592.10318046692</v>
      </c>
      <c r="R51" s="477">
        <v>737102.55924449256</v>
      </c>
      <c r="S51" s="477">
        <v>740123.47137254372</v>
      </c>
      <c r="T51" s="477">
        <v>740123.47137254372</v>
      </c>
      <c r="U51" s="477">
        <v>740123.47137254372</v>
      </c>
      <c r="V51" s="478">
        <f t="shared" ref="V51:V56" si="11">SUM(L51:T51)</f>
        <v>6626370.7528803051</v>
      </c>
      <c r="W51" s="478">
        <f t="shared" ref="W51:W56" si="12">U51+J51+K51</f>
        <v>2196203.1170932218</v>
      </c>
      <c r="X51" s="389">
        <f t="shared" ref="X51:X56" si="13">+W51+V51</f>
        <v>8822573.8699735273</v>
      </c>
      <c r="Y51" s="429"/>
    </row>
    <row r="52" spans="1:25" hidden="1" x14ac:dyDescent="0.35">
      <c r="A52" s="390" t="s">
        <v>268</v>
      </c>
      <c r="B52" s="390" t="s">
        <v>268</v>
      </c>
      <c r="C52" s="390" t="s">
        <v>847</v>
      </c>
      <c r="D52" s="390" t="s">
        <v>847</v>
      </c>
      <c r="E52" s="400" t="s">
        <v>847</v>
      </c>
      <c r="F52" s="400" t="s">
        <v>847</v>
      </c>
      <c r="G52" s="400"/>
      <c r="H52" s="413"/>
      <c r="I52" s="408">
        <f t="shared" ref="I52:I56" si="14">SUM(J52:U52)</f>
        <v>29134096.910116199</v>
      </c>
      <c r="J52" s="477">
        <v>2417573.9402052518</v>
      </c>
      <c r="K52" s="477">
        <v>2360810.822076112</v>
      </c>
      <c r="L52" s="477">
        <v>2375474.2433312433</v>
      </c>
      <c r="M52" s="477">
        <v>2380362.050416287</v>
      </c>
      <c r="N52" s="477">
        <v>2442704.6464443919</v>
      </c>
      <c r="O52" s="477">
        <v>2437678.5051965634</v>
      </c>
      <c r="P52" s="477">
        <v>2430254.5717938081</v>
      </c>
      <c r="Q52" s="477">
        <v>2425274.5419335752</v>
      </c>
      <c r="R52" s="477">
        <v>2407752.2146475692</v>
      </c>
      <c r="S52" s="477">
        <v>2440214.6315142745</v>
      </c>
      <c r="T52" s="477">
        <v>2485403.7913571317</v>
      </c>
      <c r="U52" s="477">
        <v>2530592.9511999888</v>
      </c>
      <c r="V52" s="478">
        <f t="shared" si="11"/>
        <v>21825119.196634844</v>
      </c>
      <c r="W52" s="478">
        <f t="shared" si="12"/>
        <v>7308977.7134813527</v>
      </c>
      <c r="X52" s="389">
        <f t="shared" si="13"/>
        <v>29134096.910116196</v>
      </c>
      <c r="Y52" s="429"/>
    </row>
    <row r="53" spans="1:25" hidden="1" x14ac:dyDescent="0.35">
      <c r="A53" s="390" t="s">
        <v>269</v>
      </c>
      <c r="B53" s="390" t="s">
        <v>269</v>
      </c>
      <c r="C53" s="390" t="s">
        <v>846</v>
      </c>
      <c r="D53" s="390" t="s">
        <v>846</v>
      </c>
      <c r="E53" s="400" t="s">
        <v>846</v>
      </c>
      <c r="F53" s="400" t="s">
        <v>846</v>
      </c>
      <c r="G53" s="400"/>
      <c r="H53" s="413"/>
      <c r="I53" s="408">
        <f t="shared" si="14"/>
        <v>61735427.429478593</v>
      </c>
      <c r="J53" s="477">
        <v>5083531.6140669119</v>
      </c>
      <c r="K53" s="477">
        <v>5223382.191275443</v>
      </c>
      <c r="L53" s="477">
        <v>4897473.8162692692</v>
      </c>
      <c r="M53" s="477">
        <v>4668158.194941394</v>
      </c>
      <c r="N53" s="477">
        <v>5196100.2684808094</v>
      </c>
      <c r="O53" s="477">
        <v>4827794.3107532421</v>
      </c>
      <c r="P53" s="477">
        <v>5397396.6177493287</v>
      </c>
      <c r="Q53" s="477">
        <v>5386336.3787785312</v>
      </c>
      <c r="R53" s="477">
        <v>5037570.1765660401</v>
      </c>
      <c r="S53" s="477">
        <v>4937782.2427406209</v>
      </c>
      <c r="T53" s="477">
        <v>5238866.5258345604</v>
      </c>
      <c r="U53" s="477">
        <v>5841035.0920224404</v>
      </c>
      <c r="V53" s="478">
        <f t="shared" si="11"/>
        <v>45587478.532113798</v>
      </c>
      <c r="W53" s="478">
        <f t="shared" si="12"/>
        <v>16147948.897364795</v>
      </c>
      <c r="X53" s="389">
        <f t="shared" si="13"/>
        <v>61735427.429478593</v>
      </c>
      <c r="Y53" s="429"/>
    </row>
    <row r="54" spans="1:25" hidden="1" x14ac:dyDescent="0.35">
      <c r="A54" s="390" t="s">
        <v>337</v>
      </c>
      <c r="B54" s="390" t="s">
        <v>330</v>
      </c>
      <c r="C54" s="390" t="s">
        <v>841</v>
      </c>
      <c r="D54" s="390" t="s">
        <v>844</v>
      </c>
      <c r="E54" s="400" t="s">
        <v>841</v>
      </c>
      <c r="F54" s="400" t="s">
        <v>844</v>
      </c>
      <c r="G54" s="400"/>
      <c r="H54" s="413"/>
      <c r="I54" s="408">
        <f t="shared" si="14"/>
        <v>46816034.124700554</v>
      </c>
      <c r="J54" s="477">
        <v>7114291.8442697665</v>
      </c>
      <c r="K54" s="477">
        <v>6480435.6089927508</v>
      </c>
      <c r="L54" s="477">
        <v>5498102.7121620411</v>
      </c>
      <c r="M54" s="477">
        <v>3125031.0131487739</v>
      </c>
      <c r="N54" s="477">
        <v>3092132.0253728922</v>
      </c>
      <c r="O54" s="477">
        <v>2546785.7394024031</v>
      </c>
      <c r="P54" s="477">
        <v>3405055.9893871648</v>
      </c>
      <c r="Q54" s="477">
        <v>3142489.2869652472</v>
      </c>
      <c r="R54" s="477">
        <v>2644411.5462174467</v>
      </c>
      <c r="S54" s="477">
        <v>2925060.2882965091</v>
      </c>
      <c r="T54" s="477">
        <v>3262324.0255970908</v>
      </c>
      <c r="U54" s="477">
        <v>3579914.0448884727</v>
      </c>
      <c r="V54" s="478">
        <f t="shared" si="11"/>
        <v>29641392.626549572</v>
      </c>
      <c r="W54" s="478">
        <f t="shared" si="12"/>
        <v>17174641.498150989</v>
      </c>
      <c r="X54" s="389">
        <f t="shared" si="13"/>
        <v>46816034.124700561</v>
      </c>
      <c r="Y54" s="429"/>
    </row>
    <row r="55" spans="1:25" hidden="1" x14ac:dyDescent="0.35">
      <c r="A55" s="390" t="s">
        <v>339</v>
      </c>
      <c r="B55" s="390" t="s">
        <v>332</v>
      </c>
      <c r="C55" s="390" t="s">
        <v>840</v>
      </c>
      <c r="D55" s="390" t="s">
        <v>843</v>
      </c>
      <c r="E55" s="400" t="s">
        <v>840</v>
      </c>
      <c r="F55" s="400" t="s">
        <v>843</v>
      </c>
      <c r="G55" s="400"/>
      <c r="H55" s="413"/>
      <c r="I55" s="408">
        <f t="shared" si="14"/>
        <v>70663367.928033739</v>
      </c>
      <c r="J55" s="477">
        <v>8525245.8621827718</v>
      </c>
      <c r="K55" s="477">
        <v>8191981.3841340067</v>
      </c>
      <c r="L55" s="477">
        <v>7045536.6012075525</v>
      </c>
      <c r="M55" s="477">
        <v>5203893.0032522026</v>
      </c>
      <c r="N55" s="477">
        <v>5375206.9405841799</v>
      </c>
      <c r="O55" s="477">
        <v>4330493.3119131634</v>
      </c>
      <c r="P55" s="477">
        <v>5828521.1067246171</v>
      </c>
      <c r="Q55" s="477">
        <v>5378418.0281150658</v>
      </c>
      <c r="R55" s="477">
        <v>4741745.7392300833</v>
      </c>
      <c r="S55" s="477">
        <v>4895434.2474842099</v>
      </c>
      <c r="T55" s="477">
        <v>5404581.707651481</v>
      </c>
      <c r="U55" s="477">
        <v>5742309.9955544053</v>
      </c>
      <c r="V55" s="478">
        <f t="shared" si="11"/>
        <v>48203830.686162546</v>
      </c>
      <c r="W55" s="478">
        <f t="shared" si="12"/>
        <v>22459537.241871182</v>
      </c>
      <c r="X55" s="389">
        <f t="shared" si="13"/>
        <v>70663367.928033724</v>
      </c>
      <c r="Y55" s="429"/>
    </row>
    <row r="56" spans="1:25" hidden="1" x14ac:dyDescent="0.35">
      <c r="A56" s="390" t="s">
        <v>335</v>
      </c>
      <c r="B56" s="390" t="s">
        <v>328</v>
      </c>
      <c r="C56" s="390" t="s">
        <v>842</v>
      </c>
      <c r="D56" s="390" t="s">
        <v>845</v>
      </c>
      <c r="E56" s="400" t="s">
        <v>842</v>
      </c>
      <c r="F56" s="400" t="s">
        <v>845</v>
      </c>
      <c r="G56" s="400"/>
      <c r="H56" s="413"/>
      <c r="I56" s="408">
        <f t="shared" si="14"/>
        <v>52311934.132259093</v>
      </c>
      <c r="J56" s="477">
        <v>5857768.3356903251</v>
      </c>
      <c r="K56" s="477">
        <v>6159775.4909081375</v>
      </c>
      <c r="L56" s="477">
        <v>5764588.0648256456</v>
      </c>
      <c r="M56" s="477">
        <v>3326410.0373729765</v>
      </c>
      <c r="N56" s="477">
        <v>3561615.9892012398</v>
      </c>
      <c r="O56" s="477">
        <v>4112405.2913312553</v>
      </c>
      <c r="P56" s="477">
        <v>3878686.944299187</v>
      </c>
      <c r="Q56" s="477">
        <v>3497518.4347649799</v>
      </c>
      <c r="R56" s="477">
        <v>4455200.6886307914</v>
      </c>
      <c r="S56" s="477">
        <v>3521038.0629241033</v>
      </c>
      <c r="T56" s="477">
        <v>3943151.9677425246</v>
      </c>
      <c r="U56" s="477">
        <v>4233774.8245679298</v>
      </c>
      <c r="V56" s="478">
        <f t="shared" si="11"/>
        <v>36060615.481092706</v>
      </c>
      <c r="W56" s="478">
        <f t="shared" si="12"/>
        <v>16251318.651166394</v>
      </c>
      <c r="X56" s="389">
        <f t="shared" si="13"/>
        <v>52311934.132259101</v>
      </c>
      <c r="Y56" s="429"/>
    </row>
    <row r="57" spans="1:25" x14ac:dyDescent="0.35">
      <c r="A57" s="400" t="s">
        <v>270</v>
      </c>
      <c r="B57" s="400"/>
      <c r="C57" s="400"/>
      <c r="D57" s="400"/>
      <c r="E57" s="400"/>
      <c r="F57" s="400"/>
      <c r="G57" s="400"/>
      <c r="H57" s="413">
        <v>27</v>
      </c>
      <c r="I57" s="408">
        <f>'Tariff Rand Values Old'!I61</f>
        <v>67244816.395046115</v>
      </c>
      <c r="J57" s="476"/>
      <c r="K57" s="476"/>
      <c r="L57" s="476"/>
      <c r="M57" s="476"/>
      <c r="N57" s="476"/>
      <c r="O57" s="476"/>
      <c r="P57" s="476"/>
      <c r="Q57" s="476"/>
      <c r="R57" s="476"/>
      <c r="S57" s="476"/>
      <c r="T57" s="476"/>
      <c r="U57" s="476"/>
      <c r="V57" s="389"/>
      <c r="W57" s="389"/>
      <c r="X57" s="389"/>
      <c r="Y57" s="429">
        <v>0.1174</v>
      </c>
    </row>
    <row r="58" spans="1:25" hidden="1" x14ac:dyDescent="0.35">
      <c r="A58" s="402" t="s">
        <v>520</v>
      </c>
      <c r="B58" s="402" t="s">
        <v>520</v>
      </c>
      <c r="C58" s="402" t="s">
        <v>519</v>
      </c>
      <c r="D58" s="406" t="s">
        <v>519</v>
      </c>
      <c r="E58" s="400" t="s">
        <v>519</v>
      </c>
      <c r="F58" s="400" t="s">
        <v>519</v>
      </c>
      <c r="G58" s="400"/>
      <c r="H58" s="413"/>
      <c r="I58" s="408">
        <f>SUM(J58:U58)</f>
        <v>590539.01178731781</v>
      </c>
      <c r="J58" s="477">
        <v>49211.584315609813</v>
      </c>
      <c r="K58" s="477">
        <v>49211.584315609813</v>
      </c>
      <c r="L58" s="477">
        <v>49211.584315609813</v>
      </c>
      <c r="M58" s="477">
        <v>49211.584315609813</v>
      </c>
      <c r="N58" s="477">
        <v>49211.584315609813</v>
      </c>
      <c r="O58" s="477">
        <v>49211.584315609813</v>
      </c>
      <c r="P58" s="477">
        <v>49211.584315609813</v>
      </c>
      <c r="Q58" s="477">
        <v>49211.584315609813</v>
      </c>
      <c r="R58" s="477">
        <v>49211.584315609813</v>
      </c>
      <c r="S58" s="477">
        <v>49211.584315609813</v>
      </c>
      <c r="T58" s="477">
        <v>49211.584315609813</v>
      </c>
      <c r="U58" s="477">
        <v>49211.584315609813</v>
      </c>
      <c r="V58" s="478">
        <f>SUM(L58:T58)</f>
        <v>442904.25884048839</v>
      </c>
      <c r="W58" s="478">
        <f>U58+J58+K58</f>
        <v>147634.75294682942</v>
      </c>
      <c r="X58" s="389">
        <f>+W58+V58</f>
        <v>590539.01178731781</v>
      </c>
      <c r="Y58" s="429"/>
    </row>
    <row r="59" spans="1:25" hidden="1" x14ac:dyDescent="0.35">
      <c r="A59" s="402" t="s">
        <v>518</v>
      </c>
      <c r="B59" s="402" t="s">
        <v>518</v>
      </c>
      <c r="C59" s="402" t="s">
        <v>517</v>
      </c>
      <c r="D59" s="402" t="s">
        <v>517</v>
      </c>
      <c r="E59" s="400" t="s">
        <v>517</v>
      </c>
      <c r="F59" s="400" t="s">
        <v>517</v>
      </c>
      <c r="G59" s="400"/>
      <c r="H59" s="413"/>
      <c r="I59" s="408">
        <f t="shared" ref="I59:I62" si="15">SUM(J59:U59)</f>
        <v>4052084.5778509742</v>
      </c>
      <c r="J59" s="477">
        <v>422783.4682380149</v>
      </c>
      <c r="K59" s="477">
        <v>426470.53336799762</v>
      </c>
      <c r="L59" s="477">
        <v>383454.77351819957</v>
      </c>
      <c r="M59" s="477">
        <v>301110.31894858618</v>
      </c>
      <c r="N59" s="477">
        <v>278987.92816869006</v>
      </c>
      <c r="O59" s="477">
        <v>240888.25515886894</v>
      </c>
      <c r="P59" s="477">
        <v>275300.86303870735</v>
      </c>
      <c r="Q59" s="477">
        <v>286362.05842865538</v>
      </c>
      <c r="R59" s="477">
        <v>283904.01500866696</v>
      </c>
      <c r="S59" s="477">
        <v>307255.42749855731</v>
      </c>
      <c r="T59" s="477">
        <v>403119.12087810721</v>
      </c>
      <c r="U59" s="477">
        <v>442447.81559792254</v>
      </c>
      <c r="V59" s="478">
        <f>SUM(L59:T59)</f>
        <v>2760382.7606470389</v>
      </c>
      <c r="W59" s="478">
        <f>U59+J59+K59</f>
        <v>1291701.8172039352</v>
      </c>
      <c r="X59" s="389">
        <f>+W59+V59</f>
        <v>4052084.5778509742</v>
      </c>
      <c r="Y59" s="429"/>
    </row>
    <row r="60" spans="1:25" hidden="1" x14ac:dyDescent="0.35">
      <c r="A60" s="402" t="s">
        <v>498</v>
      </c>
      <c r="B60" s="402" t="s">
        <v>503</v>
      </c>
      <c r="C60" s="402" t="s">
        <v>497</v>
      </c>
      <c r="D60" s="402" t="s">
        <v>502</v>
      </c>
      <c r="E60" s="400" t="s">
        <v>497</v>
      </c>
      <c r="F60" s="400" t="s">
        <v>502</v>
      </c>
      <c r="G60" s="400"/>
      <c r="H60" s="413"/>
      <c r="I60" s="408">
        <f t="shared" si="15"/>
        <v>9276095.6712719612</v>
      </c>
      <c r="J60" s="477">
        <v>1310032.6115023296</v>
      </c>
      <c r="K60" s="477">
        <v>1254388.6970984077</v>
      </c>
      <c r="L60" s="477">
        <v>931744.9645328864</v>
      </c>
      <c r="M60" s="477">
        <v>706765.55618974904</v>
      </c>
      <c r="N60" s="477">
        <v>586510.82589088951</v>
      </c>
      <c r="O60" s="477">
        <v>432539.46320368425</v>
      </c>
      <c r="P60" s="477">
        <v>561666.99149947683</v>
      </c>
      <c r="Q60" s="477">
        <v>567783.55862927751</v>
      </c>
      <c r="R60" s="477">
        <v>532065.82711821923</v>
      </c>
      <c r="S60" s="477">
        <v>645109.04925786902</v>
      </c>
      <c r="T60" s="477">
        <v>808368.53240143845</v>
      </c>
      <c r="U60" s="477">
        <v>939119.59394773364</v>
      </c>
      <c r="V60" s="478">
        <f>SUM(L60:T60)</f>
        <v>5772554.7687234906</v>
      </c>
      <c r="W60" s="478">
        <f>U60+J60+K60</f>
        <v>3503540.9025484705</v>
      </c>
      <c r="X60" s="389">
        <f>+W60+V60</f>
        <v>9276095.6712719612</v>
      </c>
      <c r="Y60" s="429"/>
    </row>
    <row r="61" spans="1:25" hidden="1" x14ac:dyDescent="0.35">
      <c r="A61" s="402" t="s">
        <v>496</v>
      </c>
      <c r="B61" s="402" t="s">
        <v>501</v>
      </c>
      <c r="C61" s="402" t="s">
        <v>495</v>
      </c>
      <c r="D61" s="402" t="s">
        <v>500</v>
      </c>
      <c r="E61" s="400" t="s">
        <v>495</v>
      </c>
      <c r="F61" s="400" t="s">
        <v>500</v>
      </c>
      <c r="G61" s="400"/>
      <c r="H61" s="413"/>
      <c r="I61" s="408">
        <f t="shared" si="15"/>
        <v>14374546.341170231</v>
      </c>
      <c r="J61" s="477">
        <v>1832827.1390437626</v>
      </c>
      <c r="K61" s="477">
        <v>1885038.6149022675</v>
      </c>
      <c r="L61" s="477">
        <v>1369617.6352734377</v>
      </c>
      <c r="M61" s="477">
        <v>1073405.3759942856</v>
      </c>
      <c r="N61" s="477">
        <v>969891.53250392014</v>
      </c>
      <c r="O61" s="477">
        <v>712058.83773548517</v>
      </c>
      <c r="P61" s="477">
        <v>950445.29022971855</v>
      </c>
      <c r="Q61" s="477">
        <v>934398.74066079711</v>
      </c>
      <c r="R61" s="477">
        <v>890393.11828365282</v>
      </c>
      <c r="S61" s="477">
        <v>997524.23481243604</v>
      </c>
      <c r="T61" s="477">
        <v>1268384.552027504</v>
      </c>
      <c r="U61" s="477">
        <v>1490561.2697029624</v>
      </c>
      <c r="V61" s="478">
        <f>SUM(L61:T61)</f>
        <v>9166119.3175212368</v>
      </c>
      <c r="W61" s="478">
        <f>U61+J61+K61</f>
        <v>5208427.0236489922</v>
      </c>
      <c r="X61" s="389">
        <f>+W61+V61</f>
        <v>14374546.341170229</v>
      </c>
      <c r="Y61" s="429"/>
    </row>
    <row r="62" spans="1:25" hidden="1" x14ac:dyDescent="0.35">
      <c r="A62" s="402" t="s">
        <v>492</v>
      </c>
      <c r="B62" s="402" t="s">
        <v>494</v>
      </c>
      <c r="C62" s="402" t="s">
        <v>499</v>
      </c>
      <c r="D62" s="402" t="s">
        <v>493</v>
      </c>
      <c r="E62" s="400" t="s">
        <v>499</v>
      </c>
      <c r="F62" s="400" t="s">
        <v>493</v>
      </c>
      <c r="G62" s="400"/>
      <c r="H62" s="413"/>
      <c r="I62" s="408">
        <f t="shared" si="15"/>
        <v>13721363.752871234</v>
      </c>
      <c r="J62" s="477">
        <v>1733476.2120716632</v>
      </c>
      <c r="K62" s="477">
        <v>1918316.9189106636</v>
      </c>
      <c r="L62" s="477">
        <v>1512424.4135159245</v>
      </c>
      <c r="M62" s="477">
        <v>885159.3513584513</v>
      </c>
      <c r="N62" s="477">
        <v>841154.68889454147</v>
      </c>
      <c r="O62" s="477">
        <v>863986.22517550667</v>
      </c>
      <c r="P62" s="477">
        <v>868325.35296621732</v>
      </c>
      <c r="Q62" s="477">
        <v>799240.07751306833</v>
      </c>
      <c r="R62" s="477">
        <v>1017559.5438415009</v>
      </c>
      <c r="S62" s="477">
        <v>863668.17392383143</v>
      </c>
      <c r="T62" s="477">
        <v>1075308.5639670861</v>
      </c>
      <c r="U62" s="477">
        <v>1342744.230732779</v>
      </c>
      <c r="V62" s="478">
        <f>SUM(L62:T62)</f>
        <v>8726826.3911561277</v>
      </c>
      <c r="W62" s="478">
        <f>U62+J62+K62</f>
        <v>4994537.3617151063</v>
      </c>
      <c r="X62" s="389">
        <f>+W62+V62</f>
        <v>13721363.752871234</v>
      </c>
      <c r="Y62" s="429"/>
    </row>
    <row r="63" spans="1:25" x14ac:dyDescent="0.35">
      <c r="A63" s="400" t="s">
        <v>271</v>
      </c>
      <c r="B63" s="400"/>
      <c r="C63" s="400"/>
      <c r="D63" s="400"/>
      <c r="E63" s="400"/>
      <c r="F63" s="400"/>
      <c r="G63" s="400"/>
      <c r="H63" s="413">
        <v>180</v>
      </c>
      <c r="I63" s="408">
        <f>'Tariff Rand Values Old'!I67</f>
        <v>90353461.261044443</v>
      </c>
      <c r="J63" s="476"/>
      <c r="K63" s="476"/>
      <c r="L63" s="476"/>
      <c r="M63" s="476"/>
      <c r="N63" s="476"/>
      <c r="O63" s="476"/>
      <c r="P63" s="476"/>
      <c r="Q63" s="476"/>
      <c r="R63" s="476"/>
      <c r="S63" s="476"/>
      <c r="T63" s="476"/>
      <c r="U63" s="476"/>
      <c r="V63" s="389"/>
      <c r="W63" s="389"/>
      <c r="X63" s="389"/>
      <c r="Y63" s="429">
        <v>8.48E-2</v>
      </c>
    </row>
    <row r="64" spans="1:25" hidden="1" x14ac:dyDescent="0.35">
      <c r="A64" s="402" t="s">
        <v>342</v>
      </c>
      <c r="B64" s="402" t="s">
        <v>342</v>
      </c>
      <c r="C64" s="402" t="s">
        <v>1062</v>
      </c>
      <c r="D64" s="406" t="s">
        <v>1387</v>
      </c>
      <c r="E64" s="400" t="s">
        <v>1062</v>
      </c>
      <c r="F64" s="400" t="s">
        <v>1062</v>
      </c>
      <c r="G64" s="400"/>
      <c r="H64" s="413"/>
      <c r="I64" s="408">
        <f>SUM(J64:U64)</f>
        <v>2806801.2048354098</v>
      </c>
      <c r="J64" s="477">
        <v>231741.72162312758</v>
      </c>
      <c r="K64" s="477">
        <v>231741.72162312758</v>
      </c>
      <c r="L64" s="477">
        <v>231741.72162312758</v>
      </c>
      <c r="M64" s="477">
        <v>231741.72162312758</v>
      </c>
      <c r="N64" s="477">
        <v>231741.72162312758</v>
      </c>
      <c r="O64" s="477">
        <v>231741.72162312758</v>
      </c>
      <c r="P64" s="477">
        <v>231741.72162312758</v>
      </c>
      <c r="Q64" s="477">
        <v>234468.09481869382</v>
      </c>
      <c r="R64" s="477">
        <v>235831.28141647688</v>
      </c>
      <c r="S64" s="477">
        <v>237194.46801426</v>
      </c>
      <c r="T64" s="477">
        <v>238557.65461204312</v>
      </c>
      <c r="U64" s="477">
        <v>238557.65461204312</v>
      </c>
      <c r="V64" s="478">
        <f>SUM(L64:T64)</f>
        <v>2104760.1069771117</v>
      </c>
      <c r="W64" s="478">
        <f>U64+J64+K64</f>
        <v>702041.09785829834</v>
      </c>
      <c r="X64" s="389">
        <f>+W64+V64</f>
        <v>2806801.2048354102</v>
      </c>
      <c r="Y64" s="429"/>
    </row>
    <row r="65" spans="1:35" hidden="1" x14ac:dyDescent="0.35">
      <c r="A65" s="402" t="s">
        <v>272</v>
      </c>
      <c r="B65" s="402" t="s">
        <v>272</v>
      </c>
      <c r="C65" s="402" t="s">
        <v>1063</v>
      </c>
      <c r="D65" s="402" t="s">
        <v>1063</v>
      </c>
      <c r="E65" s="400" t="s">
        <v>1063</v>
      </c>
      <c r="F65" s="400" t="s">
        <v>1063</v>
      </c>
      <c r="G65" s="400"/>
      <c r="H65" s="413"/>
      <c r="I65" s="408">
        <f t="shared" ref="I65:I68" si="16">SUM(J65:U65)</f>
        <v>7359300.629378181</v>
      </c>
      <c r="J65" s="477">
        <v>749129.97343225253</v>
      </c>
      <c r="K65" s="477">
        <v>766155.6546466219</v>
      </c>
      <c r="L65" s="477">
        <v>672514.40796759049</v>
      </c>
      <c r="M65" s="477">
        <v>561847.48007418949</v>
      </c>
      <c r="N65" s="477">
        <v>527796.11764545063</v>
      </c>
      <c r="O65" s="477">
        <v>434154.87096641917</v>
      </c>
      <c r="P65" s="477">
        <v>476719.07400234253</v>
      </c>
      <c r="Q65" s="477">
        <v>525392.49206224561</v>
      </c>
      <c r="R65" s="477">
        <v>545773.23398650542</v>
      </c>
      <c r="S65" s="477">
        <v>583780.56352093583</v>
      </c>
      <c r="T65" s="477">
        <v>744873.55312866031</v>
      </c>
      <c r="U65" s="477">
        <v>771163.2079449658</v>
      </c>
      <c r="V65" s="478">
        <f>SUM(L65:T65)</f>
        <v>5072851.793354339</v>
      </c>
      <c r="W65" s="478">
        <f>U65+J65+K65</f>
        <v>2286448.8360238401</v>
      </c>
      <c r="X65" s="389">
        <f>+W65+V65</f>
        <v>7359300.6293781791</v>
      </c>
      <c r="Y65" s="429"/>
      <c r="AB65" s="270"/>
      <c r="AD65" s="382"/>
    </row>
    <row r="66" spans="1:35" hidden="1" x14ac:dyDescent="0.35">
      <c r="A66" s="402" t="s">
        <v>349</v>
      </c>
      <c r="B66" s="402" t="s">
        <v>345</v>
      </c>
      <c r="C66" s="402" t="s">
        <v>878</v>
      </c>
      <c r="D66" s="402" t="s">
        <v>881</v>
      </c>
      <c r="E66" s="400" t="s">
        <v>878</v>
      </c>
      <c r="F66" s="400" t="s">
        <v>881</v>
      </c>
      <c r="G66" s="400"/>
      <c r="H66" s="413"/>
      <c r="I66" s="408">
        <f t="shared" si="16"/>
        <v>12953740.273359049</v>
      </c>
      <c r="J66" s="477">
        <v>1925792.4569378186</v>
      </c>
      <c r="K66" s="477">
        <v>1909784.5165457202</v>
      </c>
      <c r="L66" s="477">
        <v>1399391.8124162499</v>
      </c>
      <c r="M66" s="477">
        <v>959287.51321251795</v>
      </c>
      <c r="N66" s="477">
        <v>777672.40328921075</v>
      </c>
      <c r="O66" s="477">
        <v>544345.70085679099</v>
      </c>
      <c r="P66" s="477">
        <v>709473.05664675822</v>
      </c>
      <c r="Q66" s="477">
        <v>759524.11776811001</v>
      </c>
      <c r="R66" s="477">
        <v>723772.73003994301</v>
      </c>
      <c r="S66" s="477">
        <v>880349.08393134468</v>
      </c>
      <c r="T66" s="477">
        <v>1110682.4213753855</v>
      </c>
      <c r="U66" s="477">
        <v>1253664.4603391998</v>
      </c>
      <c r="V66" s="478">
        <f>SUM(L66:T66)</f>
        <v>7864498.8395363102</v>
      </c>
      <c r="W66" s="478">
        <f>U66+J66+K66</f>
        <v>5089241.4338227389</v>
      </c>
      <c r="X66" s="389">
        <f>+W66+V66</f>
        <v>12953740.273359049</v>
      </c>
      <c r="Y66" s="429"/>
      <c r="AB66" s="270"/>
      <c r="AD66" s="382"/>
    </row>
    <row r="67" spans="1:35" hidden="1" x14ac:dyDescent="0.35">
      <c r="A67" s="402" t="s">
        <v>353</v>
      </c>
      <c r="B67" s="402" t="s">
        <v>273</v>
      </c>
      <c r="C67" s="402" t="s">
        <v>877</v>
      </c>
      <c r="D67" s="402" t="s">
        <v>880</v>
      </c>
      <c r="E67" s="400" t="s">
        <v>877</v>
      </c>
      <c r="F67" s="400" t="s">
        <v>880</v>
      </c>
      <c r="G67" s="400"/>
      <c r="H67" s="413"/>
      <c r="I67" s="408">
        <f t="shared" si="16"/>
        <v>18870985.029985122</v>
      </c>
      <c r="J67" s="477">
        <v>2421588.0576399802</v>
      </c>
      <c r="K67" s="477">
        <v>2538975.8022827185</v>
      </c>
      <c r="L67" s="477">
        <v>1816249.2712779229</v>
      </c>
      <c r="M67" s="477">
        <v>1431370.3532422343</v>
      </c>
      <c r="N67" s="477">
        <v>1258522.9248912993</v>
      </c>
      <c r="O67" s="477">
        <v>867285.28105131991</v>
      </c>
      <c r="P67" s="477">
        <v>1167258.0483035131</v>
      </c>
      <c r="Q67" s="477">
        <v>1202759.9059938504</v>
      </c>
      <c r="R67" s="477">
        <v>1168150.3409834306</v>
      </c>
      <c r="S67" s="477">
        <v>1324472.424524734</v>
      </c>
      <c r="T67" s="477">
        <v>1723200.6861103098</v>
      </c>
      <c r="U67" s="477">
        <v>1951151.9336838138</v>
      </c>
      <c r="V67" s="478">
        <f>SUM(L67:T67)</f>
        <v>11959269.236378614</v>
      </c>
      <c r="W67" s="478">
        <f>U67+J67+K67</f>
        <v>6911715.7936065122</v>
      </c>
      <c r="X67" s="389">
        <f>+W67+V67</f>
        <v>18870985.029985126</v>
      </c>
      <c r="Y67" s="429"/>
      <c r="AB67" s="270"/>
      <c r="AD67" s="382"/>
    </row>
    <row r="68" spans="1:35" hidden="1" x14ac:dyDescent="0.35">
      <c r="A68" s="402" t="s">
        <v>351</v>
      </c>
      <c r="B68" s="402" t="s">
        <v>274</v>
      </c>
      <c r="C68" s="402" t="s">
        <v>879</v>
      </c>
      <c r="D68" s="402" t="s">
        <v>882</v>
      </c>
      <c r="E68" s="400" t="s">
        <v>879</v>
      </c>
      <c r="F68" s="400" t="s">
        <v>882</v>
      </c>
      <c r="G68" s="400"/>
      <c r="H68" s="413"/>
      <c r="I68" s="408">
        <f t="shared" si="16"/>
        <v>17947928.920845926</v>
      </c>
      <c r="J68" s="477">
        <v>2301934.6464699861</v>
      </c>
      <c r="K68" s="477">
        <v>2575192.1026249505</v>
      </c>
      <c r="L68" s="477">
        <v>2005329.2431119073</v>
      </c>
      <c r="M68" s="477">
        <v>1169253.7938360572</v>
      </c>
      <c r="N68" s="477">
        <v>1096679.4204255433</v>
      </c>
      <c r="O68" s="477">
        <v>1058999.3922103876</v>
      </c>
      <c r="P68" s="477">
        <v>1052108.4921087832</v>
      </c>
      <c r="Q68" s="477">
        <v>1027846.3141790795</v>
      </c>
      <c r="R68" s="477">
        <v>1339239.1040020161</v>
      </c>
      <c r="S68" s="477">
        <v>1155197.7375336858</v>
      </c>
      <c r="T68" s="477">
        <v>1435618.5618436297</v>
      </c>
      <c r="U68" s="477">
        <v>1730530.1124999006</v>
      </c>
      <c r="V68" s="478">
        <f>SUM(L68:T68)</f>
        <v>11340272.059251089</v>
      </c>
      <c r="W68" s="478">
        <f>U68+J68+K68</f>
        <v>6607656.8615948372</v>
      </c>
      <c r="X68" s="389">
        <f>+W68+V68</f>
        <v>17947928.920845926</v>
      </c>
      <c r="Y68" s="429"/>
      <c r="AB68" s="270"/>
      <c r="AD68" s="382"/>
    </row>
    <row r="69" spans="1:35" x14ac:dyDescent="0.35">
      <c r="A69" s="400" t="s">
        <v>547</v>
      </c>
      <c r="B69" s="400"/>
      <c r="C69" s="400"/>
      <c r="D69" s="400"/>
      <c r="E69" s="400"/>
      <c r="F69" s="400"/>
      <c r="G69" s="400"/>
      <c r="H69" s="413">
        <v>7</v>
      </c>
      <c r="I69" s="408">
        <f>'Tariff Rand Values Old'!I73</f>
        <v>6688093.0212754561</v>
      </c>
      <c r="J69" s="476"/>
      <c r="K69" s="476"/>
      <c r="L69" s="476"/>
      <c r="M69" s="476"/>
      <c r="N69" s="476"/>
      <c r="O69" s="476"/>
      <c r="P69" s="476"/>
      <c r="Q69" s="476"/>
      <c r="R69" s="476"/>
      <c r="S69" s="476"/>
      <c r="T69" s="476"/>
      <c r="U69" s="476"/>
      <c r="V69" s="389"/>
      <c r="W69" s="389"/>
      <c r="X69" s="389"/>
      <c r="Y69" s="429">
        <v>5.9400000000000001E-2</v>
      </c>
      <c r="AB69" s="270"/>
      <c r="AD69" s="382" t="s">
        <v>1463</v>
      </c>
    </row>
    <row r="70" spans="1:35" hidden="1" x14ac:dyDescent="0.35">
      <c r="A70" s="402" t="s">
        <v>489</v>
      </c>
      <c r="B70" s="402" t="s">
        <v>276</v>
      </c>
      <c r="C70" s="402" t="s">
        <v>488</v>
      </c>
      <c r="D70" s="402" t="s">
        <v>822</v>
      </c>
      <c r="E70" s="400" t="s">
        <v>488</v>
      </c>
      <c r="F70" s="400" t="s">
        <v>822</v>
      </c>
      <c r="G70" s="400"/>
      <c r="H70" s="413"/>
      <c r="I70" s="408">
        <f>SUM(J70:U70)</f>
        <v>2054100.423831441</v>
      </c>
      <c r="J70" s="483">
        <v>170666.60028855086</v>
      </c>
      <c r="K70" s="483">
        <v>170425.03397533283</v>
      </c>
      <c r="L70" s="483">
        <v>170545.81713194188</v>
      </c>
      <c r="M70" s="483">
        <v>103010.94376176843</v>
      </c>
      <c r="N70" s="483">
        <v>146991.52543935282</v>
      </c>
      <c r="O70" s="483">
        <v>129716.29878113892</v>
      </c>
      <c r="P70" s="483">
        <v>155689.74958620669</v>
      </c>
      <c r="Q70" s="483">
        <v>196079.42621236836</v>
      </c>
      <c r="R70" s="483">
        <v>184824.11171679434</v>
      </c>
      <c r="S70" s="483">
        <v>216444.66097534154</v>
      </c>
      <c r="T70" s="483">
        <v>214155.17310497584</v>
      </c>
      <c r="U70" s="483">
        <v>195551.08285766857</v>
      </c>
      <c r="V70" s="478">
        <f>SUM(L70:T70)</f>
        <v>1517457.7067098888</v>
      </c>
      <c r="W70" s="478">
        <f>U70+J70+K70</f>
        <v>536642.71712155233</v>
      </c>
      <c r="X70" s="389">
        <f>+W70+V70</f>
        <v>2054100.423831441</v>
      </c>
      <c r="Y70" s="429"/>
      <c r="AB70" s="270"/>
      <c r="AD70" s="382"/>
    </row>
    <row r="71" spans="1:35" hidden="1" x14ac:dyDescent="0.35">
      <c r="A71" s="402" t="s">
        <v>487</v>
      </c>
      <c r="B71" s="402" t="s">
        <v>277</v>
      </c>
      <c r="C71" s="402" t="s">
        <v>486</v>
      </c>
      <c r="D71" s="402" t="s">
        <v>821</v>
      </c>
      <c r="E71" s="400" t="s">
        <v>486</v>
      </c>
      <c r="F71" s="400" t="s">
        <v>821</v>
      </c>
      <c r="G71" s="400"/>
      <c r="H71" s="413"/>
      <c r="I71" s="408">
        <f t="shared" ref="I71:I72" si="17">SUM(J71:U71)</f>
        <v>3119230.2693238817</v>
      </c>
      <c r="J71" s="483">
        <v>224203.73445550073</v>
      </c>
      <c r="K71" s="483">
        <v>239005.06324531193</v>
      </c>
      <c r="L71" s="483">
        <v>223103.74499352567</v>
      </c>
      <c r="M71" s="483">
        <v>162111.23730269793</v>
      </c>
      <c r="N71" s="483">
        <v>224787.9068379463</v>
      </c>
      <c r="O71" s="483">
        <v>215325.17697916104</v>
      </c>
      <c r="P71" s="483">
        <v>239406.3425296465</v>
      </c>
      <c r="Q71" s="483">
        <v>313049.36897534353</v>
      </c>
      <c r="R71" s="483">
        <v>306885.94385876576</v>
      </c>
      <c r="S71" s="483">
        <v>328877.93528458441</v>
      </c>
      <c r="T71" s="483">
        <v>334251.95619903889</v>
      </c>
      <c r="U71" s="483">
        <v>308221.85866235895</v>
      </c>
      <c r="V71" s="478">
        <f>SUM(L71:T71)</f>
        <v>2347799.6129607102</v>
      </c>
      <c r="W71" s="478">
        <f>U71+J71+K71</f>
        <v>771430.65636317164</v>
      </c>
      <c r="X71" s="389">
        <f>+W71+V71</f>
        <v>3119230.2693238817</v>
      </c>
      <c r="Y71" s="429"/>
      <c r="AB71" s="270"/>
      <c r="AD71" s="382"/>
    </row>
    <row r="72" spans="1:35" hidden="1" x14ac:dyDescent="0.35">
      <c r="A72" s="402" t="s">
        <v>480</v>
      </c>
      <c r="B72" s="402" t="s">
        <v>278</v>
      </c>
      <c r="C72" s="402" t="s">
        <v>482</v>
      </c>
      <c r="D72" s="402" t="s">
        <v>823</v>
      </c>
      <c r="E72" s="400" t="s">
        <v>482</v>
      </c>
      <c r="F72" s="400" t="s">
        <v>823</v>
      </c>
      <c r="G72" s="400"/>
      <c r="H72" s="413"/>
      <c r="I72" s="408">
        <f t="shared" si="17"/>
        <v>3518902.7418594989</v>
      </c>
      <c r="J72" s="483">
        <v>224483.87505980619</v>
      </c>
      <c r="K72" s="483">
        <v>267562.56492512865</v>
      </c>
      <c r="L72" s="483">
        <v>263358.63084032404</v>
      </c>
      <c r="M72" s="483">
        <v>150280.12892661346</v>
      </c>
      <c r="N72" s="483">
        <v>223819.81656485063</v>
      </c>
      <c r="O72" s="483">
        <v>316736.57347050693</v>
      </c>
      <c r="P72" s="483">
        <v>258429.1208580955</v>
      </c>
      <c r="Q72" s="483">
        <v>300146.14417342457</v>
      </c>
      <c r="R72" s="483">
        <v>394227.59580352501</v>
      </c>
      <c r="S72" s="483">
        <v>383615.93275858939</v>
      </c>
      <c r="T72" s="483">
        <v>399964.79574245366</v>
      </c>
      <c r="U72" s="483">
        <v>336277.56273618113</v>
      </c>
      <c r="V72" s="478">
        <f>SUM(L72:T72)</f>
        <v>2690578.7391383834</v>
      </c>
      <c r="W72" s="478">
        <f>U72+J72+K72</f>
        <v>828324.00272111595</v>
      </c>
      <c r="X72" s="389">
        <f>+W72+V72</f>
        <v>3518902.7418594994</v>
      </c>
      <c r="Y72" s="429"/>
      <c r="AB72" s="270"/>
      <c r="AD72" s="382"/>
    </row>
    <row r="73" spans="1:35" x14ac:dyDescent="0.35">
      <c r="A73" s="400" t="s">
        <v>1470</v>
      </c>
      <c r="B73" s="400"/>
      <c r="C73" s="400"/>
      <c r="D73" s="400"/>
      <c r="E73" s="400"/>
      <c r="F73" s="400"/>
      <c r="G73" s="400"/>
      <c r="H73" s="520"/>
      <c r="I73" s="408">
        <f>'Tariff Rand Values Old'!I77</f>
        <v>1366175.668170592</v>
      </c>
      <c r="J73" s="476"/>
      <c r="K73" s="476"/>
      <c r="L73" s="476"/>
      <c r="M73" s="476"/>
      <c r="N73" s="476"/>
      <c r="O73" s="476"/>
      <c r="P73" s="476"/>
      <c r="Q73" s="476"/>
      <c r="R73" s="476"/>
      <c r="S73" s="476"/>
      <c r="T73" s="476"/>
      <c r="U73" s="476"/>
      <c r="V73" s="389"/>
      <c r="W73" s="389"/>
      <c r="X73" s="389"/>
      <c r="Y73" s="429">
        <v>5.62E-2</v>
      </c>
      <c r="AB73" s="270"/>
      <c r="AD73" s="523"/>
      <c r="AE73" s="522"/>
      <c r="AF73" s="522"/>
      <c r="AG73" s="522"/>
      <c r="AH73" s="524" t="s">
        <v>1460</v>
      </c>
      <c r="AI73" s="524" t="s">
        <v>467</v>
      </c>
    </row>
    <row r="74" spans="1:35" hidden="1" x14ac:dyDescent="0.35">
      <c r="A74" s="402" t="s">
        <v>507</v>
      </c>
      <c r="B74" s="402" t="s">
        <v>443</v>
      </c>
      <c r="C74" s="402" t="s">
        <v>506</v>
      </c>
      <c r="D74" s="402" t="s">
        <v>1053</v>
      </c>
      <c r="E74" s="400" t="s">
        <v>506</v>
      </c>
      <c r="F74" s="400" t="s">
        <v>1053</v>
      </c>
      <c r="G74" s="400"/>
      <c r="H74" s="413"/>
      <c r="I74" s="408">
        <f>SUM(J74:U74)</f>
        <v>159778.00820087185</v>
      </c>
      <c r="J74" s="483">
        <v>29533.851947040759</v>
      </c>
      <c r="K74" s="483">
        <v>26025.64164314725</v>
      </c>
      <c r="L74" s="483">
        <v>18893.747028492282</v>
      </c>
      <c r="M74" s="483">
        <v>9291.035748409342</v>
      </c>
      <c r="N74" s="483">
        <v>9617.5484574842849</v>
      </c>
      <c r="O74" s="483">
        <v>8506.8221882204125</v>
      </c>
      <c r="P74" s="483">
        <v>11696.151685791741</v>
      </c>
      <c r="Q74" s="483">
        <v>9649.6166699827172</v>
      </c>
      <c r="R74" s="483">
        <v>7192.0254757847015</v>
      </c>
      <c r="S74" s="483">
        <v>8066.613089378302</v>
      </c>
      <c r="T74" s="483">
        <v>9772.0589358858215</v>
      </c>
      <c r="U74" s="483">
        <v>11532.895331254269</v>
      </c>
      <c r="V74" s="478">
        <f>SUM(L74:T74)</f>
        <v>92685.619279429608</v>
      </c>
      <c r="W74" s="478">
        <f>U74+J74+K74</f>
        <v>67092.388921442282</v>
      </c>
      <c r="X74" s="389">
        <f>+W74+V74</f>
        <v>159778.00820087187</v>
      </c>
      <c r="Y74" s="428"/>
      <c r="AB74" s="270"/>
      <c r="AD74" s="523"/>
      <c r="AE74" s="522"/>
      <c r="AF74" s="522"/>
      <c r="AG74" s="522"/>
      <c r="AH74" s="522"/>
      <c r="AI74" s="522"/>
    </row>
    <row r="75" spans="1:35" hidden="1" x14ac:dyDescent="0.35">
      <c r="A75" s="402" t="s">
        <v>505</v>
      </c>
      <c r="B75" s="402" t="s">
        <v>445</v>
      </c>
      <c r="C75" s="402" t="s">
        <v>504</v>
      </c>
      <c r="D75" s="402" t="s">
        <v>1052</v>
      </c>
      <c r="E75" s="400" t="s">
        <v>504</v>
      </c>
      <c r="F75" s="400" t="s">
        <v>1052</v>
      </c>
      <c r="G75" s="400"/>
      <c r="H75" s="413"/>
      <c r="I75" s="408">
        <f t="shared" ref="I75:I76" si="18">SUM(J75:U75)</f>
        <v>226933.04034894641</v>
      </c>
      <c r="J75" s="483">
        <v>35984.895510527989</v>
      </c>
      <c r="K75" s="483">
        <v>32225.235342335985</v>
      </c>
      <c r="L75" s="483">
        <v>23988.942775295989</v>
      </c>
      <c r="M75" s="483">
        <v>14711.63023090483</v>
      </c>
      <c r="N75" s="483">
        <v>15984.878106304512</v>
      </c>
      <c r="O75" s="483">
        <v>13404.678735273981</v>
      </c>
      <c r="P75" s="483">
        <v>18982.627883532285</v>
      </c>
      <c r="Q75" s="483">
        <v>15389.447482220541</v>
      </c>
      <c r="R75" s="483">
        <v>12095.854816296958</v>
      </c>
      <c r="S75" s="483">
        <v>12395.442551685119</v>
      </c>
      <c r="T75" s="483">
        <v>14608.64694686515</v>
      </c>
      <c r="U75" s="483">
        <v>17160.759967703038</v>
      </c>
      <c r="V75" s="478">
        <f>SUM(L75:T75)</f>
        <v>141562.14952837938</v>
      </c>
      <c r="W75" s="478">
        <f>U75+J75+K75</f>
        <v>85370.890820567016</v>
      </c>
      <c r="X75" s="389">
        <f>+W75+V75</f>
        <v>226933.04034894641</v>
      </c>
      <c r="Y75" s="428"/>
      <c r="AB75" s="270"/>
      <c r="AD75" s="523"/>
      <c r="AE75" s="522"/>
      <c r="AF75" s="522"/>
      <c r="AG75" s="522"/>
      <c r="AH75" s="522"/>
      <c r="AI75" s="522"/>
    </row>
    <row r="76" spans="1:35" hidden="1" x14ac:dyDescent="0.35">
      <c r="A76" s="402" t="s">
        <v>509</v>
      </c>
      <c r="B76" s="402" t="s">
        <v>441</v>
      </c>
      <c r="C76" s="402" t="s">
        <v>508</v>
      </c>
      <c r="D76" s="402" t="s">
        <v>1054</v>
      </c>
      <c r="E76" s="400" t="s">
        <v>508</v>
      </c>
      <c r="F76" s="400" t="s">
        <v>1054</v>
      </c>
      <c r="G76" s="400"/>
      <c r="H76" s="413"/>
      <c r="I76" s="408">
        <f t="shared" si="18"/>
        <v>171775.83335945007</v>
      </c>
      <c r="J76" s="483">
        <v>23254.075865825271</v>
      </c>
      <c r="K76" s="483">
        <v>23458.85735583743</v>
      </c>
      <c r="L76" s="483">
        <v>22119.24510867455</v>
      </c>
      <c r="M76" s="483">
        <v>9581.3561733119986</v>
      </c>
      <c r="N76" s="483">
        <v>10300.935575715837</v>
      </c>
      <c r="O76" s="483">
        <v>13648.544099942397</v>
      </c>
      <c r="P76" s="483">
        <v>13050.980335337468</v>
      </c>
      <c r="Q76" s="483">
        <v>10368.200606810111</v>
      </c>
      <c r="R76" s="483">
        <v>12880.471303028733</v>
      </c>
      <c r="S76" s="483">
        <v>9887.9595708579818</v>
      </c>
      <c r="T76" s="483">
        <v>10929.785401294845</v>
      </c>
      <c r="U76" s="483">
        <v>12295.421962813438</v>
      </c>
      <c r="V76" s="478">
        <f>SUM(L76:T76)</f>
        <v>112767.47817497392</v>
      </c>
      <c r="W76" s="478">
        <f>U76+J76+K76</f>
        <v>59008.355184476139</v>
      </c>
      <c r="X76" s="389">
        <f>+W76+V76</f>
        <v>171775.83335945004</v>
      </c>
      <c r="Y76" s="428"/>
      <c r="Z76" s="270"/>
      <c r="AB76" s="270"/>
      <c r="AD76" s="523"/>
      <c r="AE76" s="522"/>
      <c r="AF76" s="522"/>
      <c r="AG76" s="522"/>
      <c r="AH76" s="522"/>
      <c r="AI76" s="522"/>
    </row>
    <row r="77" spans="1:35" ht="29" x14ac:dyDescent="0.35">
      <c r="A77" s="390" t="s">
        <v>1447</v>
      </c>
      <c r="B77" s="390" t="s">
        <v>485</v>
      </c>
      <c r="C77" s="390"/>
      <c r="D77" s="390"/>
      <c r="E77" s="390"/>
      <c r="F77" s="390"/>
      <c r="G77" s="390"/>
      <c r="H77" s="416">
        <v>33000</v>
      </c>
      <c r="I77" s="409">
        <v>44280000</v>
      </c>
      <c r="J77" s="476"/>
      <c r="K77" s="476"/>
      <c r="L77" s="476"/>
      <c r="M77" s="476"/>
      <c r="N77" s="476"/>
      <c r="O77" s="476"/>
      <c r="P77" s="476"/>
      <c r="Q77" s="476"/>
      <c r="R77" s="476"/>
      <c r="S77" s="476"/>
      <c r="T77" s="476"/>
      <c r="U77" s="476"/>
      <c r="V77" s="488"/>
      <c r="W77" s="488"/>
      <c r="X77" s="488"/>
      <c r="Y77" s="428">
        <v>0.01</v>
      </c>
      <c r="AB77" s="270"/>
      <c r="AD77" s="523"/>
      <c r="AE77" s="522"/>
      <c r="AF77" s="522"/>
      <c r="AG77" s="532" t="s">
        <v>1464</v>
      </c>
      <c r="AH77" s="525">
        <v>0.127</v>
      </c>
      <c r="AI77" s="525">
        <v>7.6399999999999996E-2</v>
      </c>
    </row>
    <row r="78" spans="1:35" hidden="1" x14ac:dyDescent="0.35">
      <c r="A78" s="400"/>
      <c r="B78" s="400"/>
      <c r="C78" s="400"/>
      <c r="D78" s="400"/>
      <c r="E78" s="400"/>
      <c r="F78" s="400"/>
      <c r="G78" s="400"/>
      <c r="H78" s="413"/>
      <c r="I78" s="489" t="s">
        <v>295</v>
      </c>
      <c r="J78" s="482">
        <v>243376225.59</v>
      </c>
      <c r="K78" s="482">
        <v>252945125.63</v>
      </c>
      <c r="L78" s="482">
        <v>229274138.03999999</v>
      </c>
      <c r="M78" s="482">
        <v>193558565.72999999</v>
      </c>
      <c r="N78" s="482">
        <v>180456950.41</v>
      </c>
      <c r="O78" s="482">
        <v>154149465.08000001</v>
      </c>
      <c r="P78" s="482">
        <v>191112155.41999999</v>
      </c>
      <c r="Q78" s="482">
        <v>172495844.94</v>
      </c>
      <c r="R78" s="482">
        <v>174959592.55000001</v>
      </c>
      <c r="S78" s="482">
        <v>168354766.09999999</v>
      </c>
      <c r="T78" s="482">
        <v>217910820.40000001</v>
      </c>
      <c r="U78" s="482">
        <v>197269939.41</v>
      </c>
      <c r="V78" s="490"/>
      <c r="W78" s="490"/>
      <c r="X78" s="490"/>
      <c r="Y78" s="428"/>
      <c r="AD78" s="522"/>
      <c r="AE78" s="522"/>
      <c r="AF78" s="522"/>
      <c r="AG78" s="522"/>
      <c r="AH78" s="522"/>
      <c r="AI78" s="522"/>
    </row>
    <row r="79" spans="1:35" hidden="1" x14ac:dyDescent="0.35">
      <c r="A79" s="400"/>
      <c r="B79" s="400"/>
      <c r="C79" s="400"/>
      <c r="D79" s="400"/>
      <c r="E79" s="400"/>
      <c r="F79" s="400"/>
      <c r="G79" s="400"/>
      <c r="H79" s="413"/>
      <c r="I79" s="489" t="s">
        <v>542</v>
      </c>
      <c r="J79" s="482">
        <v>30462616.620000001</v>
      </c>
      <c r="K79" s="482">
        <v>29508223.010000002</v>
      </c>
      <c r="L79" s="482">
        <v>54998801.329999998</v>
      </c>
      <c r="M79" s="482">
        <v>42019873.130000003</v>
      </c>
      <c r="N79" s="482">
        <v>41333627.039999999</v>
      </c>
      <c r="O79" s="482">
        <v>42779813.039999999</v>
      </c>
      <c r="P79" s="482">
        <v>41389683.439999998</v>
      </c>
      <c r="Q79" s="482">
        <v>40047246.509999998</v>
      </c>
      <c r="R79" s="482">
        <v>45033114.549999997</v>
      </c>
      <c r="S79" s="482">
        <v>45768536.200000003</v>
      </c>
      <c r="T79" s="482">
        <v>61434145.770000003</v>
      </c>
      <c r="U79" s="482">
        <v>50349663.170000002</v>
      </c>
      <c r="V79" s="437"/>
      <c r="W79" s="437"/>
      <c r="X79" s="437"/>
      <c r="Y79" s="428"/>
      <c r="AD79" s="522"/>
      <c r="AE79" s="522"/>
      <c r="AF79" s="522"/>
      <c r="AG79" s="522"/>
      <c r="AH79" s="522"/>
      <c r="AI79" s="522"/>
    </row>
    <row r="80" spans="1:35" hidden="1" x14ac:dyDescent="0.35">
      <c r="A80" s="400"/>
      <c r="B80" s="400"/>
      <c r="C80" s="400"/>
      <c r="D80" s="400"/>
      <c r="E80" s="400"/>
      <c r="F80" s="400"/>
      <c r="G80" s="400"/>
      <c r="H80" s="413"/>
      <c r="I80" s="489" t="s">
        <v>297</v>
      </c>
      <c r="J80" s="482">
        <v>207329193.63</v>
      </c>
      <c r="K80" s="482">
        <v>217852487.28</v>
      </c>
      <c r="L80" s="482">
        <v>168690921.38</v>
      </c>
      <c r="M80" s="482">
        <v>145954277.27000001</v>
      </c>
      <c r="N80" s="482">
        <v>133538908.04000001</v>
      </c>
      <c r="O80" s="482">
        <v>105785236.70999999</v>
      </c>
      <c r="P80" s="482">
        <v>144138056.65000001</v>
      </c>
      <c r="Q80" s="482">
        <v>126864183.09999999</v>
      </c>
      <c r="R80" s="482">
        <v>124342062.67</v>
      </c>
      <c r="S80" s="482">
        <v>117001814.56999999</v>
      </c>
      <c r="T80" s="482">
        <v>150892259.30000001</v>
      </c>
      <c r="U80" s="482">
        <v>141335860.91</v>
      </c>
      <c r="V80" s="437"/>
      <c r="W80" s="437"/>
      <c r="X80" s="437"/>
      <c r="Y80" s="428"/>
      <c r="AD80" s="522"/>
      <c r="AE80" s="522"/>
      <c r="AF80" s="522"/>
      <c r="AG80" s="522"/>
      <c r="AH80" s="522"/>
      <c r="AI80" s="522"/>
    </row>
    <row r="81" spans="1:38" hidden="1" x14ac:dyDescent="0.35">
      <c r="A81" s="400"/>
      <c r="B81" s="400"/>
      <c r="C81" s="400"/>
      <c r="D81" s="400"/>
      <c r="E81" s="400"/>
      <c r="F81" s="400"/>
      <c r="G81" s="400"/>
      <c r="H81" s="413"/>
      <c r="I81" s="489" t="s">
        <v>298</v>
      </c>
      <c r="J81" s="482">
        <v>2402582</v>
      </c>
      <c r="K81" s="482">
        <v>2402582</v>
      </c>
      <c r="L81" s="482">
        <v>2402582</v>
      </c>
      <c r="M81" s="482">
        <v>2402582</v>
      </c>
      <c r="N81" s="482">
        <v>2402582</v>
      </c>
      <c r="O81" s="482">
        <v>2402582</v>
      </c>
      <c r="P81" s="482">
        <v>2402582</v>
      </c>
      <c r="Q81" s="482">
        <v>2402582</v>
      </c>
      <c r="R81" s="482">
        <v>2402582</v>
      </c>
      <c r="S81" s="482">
        <v>2402582</v>
      </c>
      <c r="T81" s="482">
        <v>2402582</v>
      </c>
      <c r="U81" s="482">
        <v>2402582</v>
      </c>
      <c r="V81" s="437"/>
      <c r="W81" s="437"/>
      <c r="X81" s="437"/>
      <c r="Y81" s="428"/>
      <c r="AD81" s="522"/>
      <c r="AE81" s="522"/>
      <c r="AF81" s="522"/>
      <c r="AG81" s="522"/>
      <c r="AH81" s="522"/>
      <c r="AI81" s="522"/>
      <c r="AJ81" s="522"/>
    </row>
    <row r="82" spans="1:38" hidden="1" x14ac:dyDescent="0.35">
      <c r="A82" s="400"/>
      <c r="B82" s="400"/>
      <c r="C82" s="400"/>
      <c r="D82" s="400"/>
      <c r="E82" s="400"/>
      <c r="F82" s="400"/>
      <c r="G82" s="400"/>
      <c r="H82" s="413"/>
      <c r="I82" s="489" t="s">
        <v>543</v>
      </c>
      <c r="J82" s="482">
        <v>3181833.33</v>
      </c>
      <c r="K82" s="482">
        <v>3181833.33</v>
      </c>
      <c r="L82" s="482">
        <v>3181833.33</v>
      </c>
      <c r="M82" s="482">
        <v>3181833.33</v>
      </c>
      <c r="N82" s="482">
        <v>3181833.33</v>
      </c>
      <c r="O82" s="482">
        <v>3181833.33</v>
      </c>
      <c r="P82" s="482">
        <v>3181833.33</v>
      </c>
      <c r="Q82" s="482">
        <v>3181833.33</v>
      </c>
      <c r="R82" s="482">
        <v>3181833.33</v>
      </c>
      <c r="S82" s="482">
        <v>3181833.33</v>
      </c>
      <c r="T82" s="482">
        <v>3181833.33</v>
      </c>
      <c r="U82" s="482">
        <v>3181833.33</v>
      </c>
      <c r="V82" s="437"/>
      <c r="W82" s="448"/>
      <c r="X82" s="437"/>
      <c r="Y82" s="428"/>
      <c r="AD82" s="522"/>
      <c r="AE82" s="522"/>
      <c r="AF82" s="522"/>
      <c r="AG82" s="522"/>
      <c r="AH82" s="522"/>
      <c r="AI82" s="522"/>
      <c r="AJ82" s="522"/>
    </row>
    <row r="83" spans="1:38" ht="20" x14ac:dyDescent="0.35">
      <c r="A83" s="491" t="s">
        <v>1436</v>
      </c>
      <c r="B83" s="492"/>
      <c r="C83" s="492"/>
      <c r="D83" s="492" t="s">
        <v>1430</v>
      </c>
      <c r="E83" s="492"/>
      <c r="F83" s="492"/>
      <c r="G83" s="492"/>
      <c r="H83" s="493">
        <f>SUM(H4:H77)-33000</f>
        <v>176667</v>
      </c>
      <c r="I83" s="494">
        <f>I73+I69+I63+I57+I50+I43+I36+I26+I24+I22+I12+I9+I6+I4+I77</f>
        <v>3508679571.9869442</v>
      </c>
      <c r="J83" s="482"/>
      <c r="K83" s="482"/>
      <c r="L83" s="482"/>
      <c r="M83" s="482"/>
      <c r="N83" s="482"/>
      <c r="O83" s="482"/>
      <c r="P83" s="482"/>
      <c r="Q83" s="482"/>
      <c r="R83" s="482"/>
      <c r="S83" s="482"/>
      <c r="T83" s="482"/>
      <c r="U83" s="482"/>
      <c r="V83" s="437"/>
      <c r="W83" s="448"/>
      <c r="X83" s="490">
        <f>SUM(X7:X77)</f>
        <v>2346839475.7846103</v>
      </c>
      <c r="Y83" s="495">
        <f>(Y4+Y6+Y9+Y12+Y22+Y24+Y26+Y36+Y43+Y50+Y57+Y63+Y69+Y73+Y77)/14</f>
        <v>0.11249285714285714</v>
      </c>
      <c r="Z83" s="426">
        <v>0.12839999999999999</v>
      </c>
      <c r="AA83" s="471">
        <f>Y83-Z83</f>
        <v>-1.5907142857142842E-2</v>
      </c>
      <c r="AD83" s="538"/>
      <c r="AE83" s="538"/>
      <c r="AF83" s="526" t="s">
        <v>1391</v>
      </c>
      <c r="AG83" s="529">
        <v>-1340109155</v>
      </c>
      <c r="AH83" s="533"/>
      <c r="AI83" s="527"/>
      <c r="AJ83" s="522"/>
      <c r="AL83" s="521" t="s">
        <v>1454</v>
      </c>
    </row>
    <row r="84" spans="1:38" ht="20" x14ac:dyDescent="0.35">
      <c r="A84" s="498" t="s">
        <v>1442</v>
      </c>
      <c r="B84" s="499"/>
      <c r="C84" s="499"/>
      <c r="D84" s="499" t="s">
        <v>1292</v>
      </c>
      <c r="E84" s="499"/>
      <c r="F84" s="499"/>
      <c r="G84" s="499"/>
      <c r="H84" s="500"/>
      <c r="I84" s="501">
        <v>-988007.78652477299</v>
      </c>
      <c r="J84" s="502"/>
      <c r="K84" s="502"/>
      <c r="L84" s="502"/>
      <c r="M84" s="502"/>
      <c r="N84" s="502"/>
      <c r="O84" s="502"/>
      <c r="P84" s="502"/>
      <c r="Q84" s="502"/>
      <c r="R84" s="502"/>
      <c r="S84" s="502"/>
      <c r="T84" s="502"/>
      <c r="U84" s="502"/>
      <c r="V84" s="503"/>
      <c r="W84" s="504"/>
      <c r="X84" s="503"/>
      <c r="Y84" s="505"/>
      <c r="AD84" s="538"/>
      <c r="AE84" s="538"/>
      <c r="AF84" s="526" t="s">
        <v>1392</v>
      </c>
      <c r="AG84" s="536">
        <v>-542646943</v>
      </c>
      <c r="AH84" s="522"/>
      <c r="AI84" s="528"/>
      <c r="AJ84" s="522"/>
      <c r="AL84" s="521" t="s">
        <v>1455</v>
      </c>
    </row>
    <row r="85" spans="1:38" ht="18.5" x14ac:dyDescent="0.35">
      <c r="A85" s="506"/>
      <c r="B85" s="330"/>
      <c r="C85" s="330"/>
      <c r="D85" s="330" t="s">
        <v>298</v>
      </c>
      <c r="E85" s="330"/>
      <c r="F85" s="330"/>
      <c r="G85" s="330"/>
      <c r="H85" s="507"/>
      <c r="I85" s="508"/>
      <c r="J85" s="509"/>
      <c r="K85" s="509"/>
      <c r="L85" s="509"/>
      <c r="M85" s="509"/>
      <c r="N85" s="509"/>
      <c r="O85" s="509"/>
      <c r="P85" s="509"/>
      <c r="Q85" s="509"/>
      <c r="R85" s="509"/>
      <c r="S85" s="509"/>
      <c r="T85" s="509"/>
      <c r="U85" s="509"/>
      <c r="V85" s="496"/>
      <c r="W85" s="497"/>
      <c r="X85" s="496"/>
      <c r="Y85" s="510"/>
      <c r="AD85" s="538"/>
      <c r="AE85" s="538"/>
      <c r="AF85" s="526" t="s">
        <v>1393</v>
      </c>
      <c r="AG85" s="536">
        <v>-47165402</v>
      </c>
      <c r="AH85" s="522"/>
      <c r="AI85" s="528"/>
      <c r="AJ85" s="522"/>
      <c r="AL85" s="521" t="s">
        <v>1456</v>
      </c>
    </row>
    <row r="86" spans="1:38" ht="20" x14ac:dyDescent="0.35">
      <c r="A86" s="511" t="s">
        <v>1443</v>
      </c>
      <c r="B86" s="512"/>
      <c r="C86" s="512"/>
      <c r="D86" s="513" t="s">
        <v>1431</v>
      </c>
      <c r="E86" s="512"/>
      <c r="F86" s="512"/>
      <c r="G86" s="512"/>
      <c r="H86" s="514">
        <f>H83-H77-H4</f>
        <v>126667</v>
      </c>
      <c r="I86" s="519">
        <f>I83+I84</f>
        <v>3507691564.2004194</v>
      </c>
      <c r="J86" s="515"/>
      <c r="K86" s="515"/>
      <c r="L86" s="515"/>
      <c r="M86" s="515"/>
      <c r="N86" s="515"/>
      <c r="O86" s="515"/>
      <c r="P86" s="515"/>
      <c r="Q86" s="515"/>
      <c r="R86" s="515"/>
      <c r="S86" s="515"/>
      <c r="T86" s="515"/>
      <c r="U86" s="515"/>
      <c r="V86" s="516"/>
      <c r="W86" s="517"/>
      <c r="X86" s="516"/>
      <c r="Y86" s="518"/>
      <c r="AD86" s="538"/>
      <c r="AE86" s="538"/>
      <c r="AF86" s="526" t="s">
        <v>1394</v>
      </c>
      <c r="AG86" s="536">
        <v>-5533456</v>
      </c>
      <c r="AH86" s="522"/>
      <c r="AI86" s="528"/>
      <c r="AJ86" s="522"/>
      <c r="AL86" s="521" t="s">
        <v>1457</v>
      </c>
    </row>
    <row r="87" spans="1:38" ht="21" x14ac:dyDescent="0.35">
      <c r="D87" s="245" t="s">
        <v>1432</v>
      </c>
      <c r="I87" s="268"/>
      <c r="J87" s="345"/>
      <c r="K87" s="345"/>
      <c r="L87" s="345"/>
      <c r="M87" s="345"/>
      <c r="N87" s="345"/>
      <c r="O87" s="345"/>
      <c r="P87" s="345"/>
      <c r="Q87" s="345"/>
      <c r="R87" s="345"/>
      <c r="S87" s="345"/>
      <c r="T87" s="345"/>
      <c r="U87" s="345"/>
      <c r="V87" s="349"/>
      <c r="W87" s="350"/>
      <c r="X87" s="349"/>
      <c r="AD87" s="538"/>
      <c r="AE87" s="538"/>
      <c r="AF87" s="526" t="s">
        <v>1395</v>
      </c>
      <c r="AG87" s="537">
        <v>647474</v>
      </c>
      <c r="AH87" s="534"/>
      <c r="AI87" s="530"/>
      <c r="AJ87" s="522"/>
      <c r="AL87" s="521" t="s">
        <v>1458</v>
      </c>
    </row>
    <row r="88" spans="1:38" ht="15" thickBot="1" x14ac:dyDescent="0.4">
      <c r="I88" s="268"/>
      <c r="J88" s="345"/>
      <c r="K88" s="345"/>
      <c r="L88" s="345"/>
      <c r="M88" s="345"/>
      <c r="N88" s="345"/>
      <c r="O88" s="345"/>
      <c r="P88" s="345"/>
      <c r="Q88" s="345"/>
      <c r="R88" s="345"/>
      <c r="S88" s="345"/>
      <c r="T88" s="345"/>
      <c r="U88" s="345"/>
      <c r="V88" s="349"/>
      <c r="W88" s="350"/>
      <c r="X88" s="349"/>
      <c r="AD88" s="538"/>
      <c r="AE88" s="538"/>
      <c r="AF88" s="538"/>
      <c r="AG88" s="535">
        <f>SUM(AG83:AG87)</f>
        <v>-1934807482</v>
      </c>
      <c r="AH88" s="531">
        <f>AG88*1.127</f>
        <v>-2180528032.2140002</v>
      </c>
      <c r="AI88" s="531">
        <f>+AH88*(1.0764)</f>
        <v>-2347120373.8751497</v>
      </c>
      <c r="AJ88" s="540"/>
    </row>
    <row r="89" spans="1:38" x14ac:dyDescent="0.35">
      <c r="I89" s="268"/>
      <c r="J89" s="345"/>
      <c r="K89" s="345"/>
      <c r="L89" s="345"/>
      <c r="M89" s="345"/>
      <c r="N89" s="345"/>
      <c r="O89" s="345"/>
      <c r="P89" s="345"/>
      <c r="Q89" s="345"/>
      <c r="R89" s="345"/>
      <c r="S89" s="345"/>
      <c r="T89" s="345"/>
      <c r="U89" s="345"/>
      <c r="V89" s="349"/>
      <c r="W89" s="350"/>
      <c r="X89" s="349"/>
      <c r="AD89" s="538"/>
      <c r="AE89" s="538"/>
      <c r="AF89" s="538" t="s">
        <v>1465</v>
      </c>
      <c r="AG89" s="522"/>
      <c r="AH89" s="522"/>
      <c r="AI89" s="523">
        <f>I83</f>
        <v>3508679571.9869442</v>
      </c>
      <c r="AJ89" s="522"/>
    </row>
    <row r="90" spans="1:38" ht="58.5" thickBot="1" x14ac:dyDescent="0.4">
      <c r="A90" s="440" t="s">
        <v>1409</v>
      </c>
      <c r="B90" s="388" t="s">
        <v>1415</v>
      </c>
      <c r="C90" s="388" t="s">
        <v>1407</v>
      </c>
      <c r="D90" s="388" t="s">
        <v>1444</v>
      </c>
      <c r="E90" s="400"/>
      <c r="F90" s="400"/>
      <c r="G90" s="400"/>
      <c r="H90" s="421" t="s">
        <v>1415</v>
      </c>
      <c r="I90" s="422" t="s">
        <v>1407</v>
      </c>
      <c r="J90" s="345" t="s">
        <v>1444</v>
      </c>
      <c r="K90" s="345"/>
      <c r="L90" s="345"/>
      <c r="M90" s="345"/>
      <c r="N90" s="345"/>
      <c r="O90" s="345"/>
      <c r="P90" s="345"/>
      <c r="Q90" s="345"/>
      <c r="R90" s="345"/>
      <c r="S90" s="345"/>
      <c r="T90" s="345"/>
      <c r="U90" s="345"/>
      <c r="V90" s="349"/>
      <c r="W90" s="350"/>
      <c r="X90" s="349"/>
      <c r="Y90" s="388" t="s">
        <v>1444</v>
      </c>
      <c r="AD90" s="1225" t="s">
        <v>1466</v>
      </c>
      <c r="AE90" s="1225"/>
      <c r="AF90" s="1225"/>
      <c r="AG90" s="522"/>
      <c r="AH90" s="522"/>
      <c r="AI90" s="539">
        <f>AI88+AI89</f>
        <v>1161559198.1117945</v>
      </c>
      <c r="AJ90" s="522"/>
    </row>
    <row r="91" spans="1:38" ht="15" thickTop="1" x14ac:dyDescent="0.35">
      <c r="A91" s="384" t="s">
        <v>1391</v>
      </c>
      <c r="B91" s="386">
        <v>-1600698536.5620301</v>
      </c>
      <c r="C91" s="386">
        <f>B91*7.64%</f>
        <v>-122293368.19333909</v>
      </c>
      <c r="D91" s="391">
        <f>B91+C91</f>
        <v>-1722991904.7553692</v>
      </c>
      <c r="E91" s="400"/>
      <c r="F91" s="400"/>
      <c r="G91" s="400"/>
      <c r="H91" s="386">
        <v>-1600698536.5620301</v>
      </c>
      <c r="I91" s="423">
        <v>-122293368.19333909</v>
      </c>
      <c r="J91" s="345">
        <v>-1722991904.7553692</v>
      </c>
      <c r="K91" s="345"/>
      <c r="L91" s="345"/>
      <c r="M91" s="345"/>
      <c r="N91" s="345"/>
      <c r="O91" s="345"/>
      <c r="P91" s="345"/>
      <c r="Q91" s="345"/>
      <c r="R91" s="345"/>
      <c r="S91" s="345"/>
      <c r="T91" s="345"/>
      <c r="U91" s="345"/>
      <c r="V91" s="349"/>
      <c r="W91" s="350"/>
      <c r="X91" s="349"/>
      <c r="Y91" s="431">
        <v>-1722991904.7553692</v>
      </c>
    </row>
    <row r="92" spans="1:38" x14ac:dyDescent="0.35">
      <c r="A92" s="384" t="s">
        <v>1392</v>
      </c>
      <c r="B92" s="386">
        <v>-627466037.95200002</v>
      </c>
      <c r="C92" s="386">
        <f t="shared" ref="C92:C94" si="19">B92*7.64%</f>
        <v>-47938405.299532801</v>
      </c>
      <c r="D92" s="391">
        <f t="shared" ref="D92:D94" si="20">B92+C92</f>
        <v>-675404443.25153279</v>
      </c>
      <c r="E92" s="400"/>
      <c r="F92" s="400"/>
      <c r="G92" s="400"/>
      <c r="H92" s="386">
        <v>-627466037.95200002</v>
      </c>
      <c r="I92" s="423">
        <v>-47938405.299532801</v>
      </c>
      <c r="J92" s="345">
        <v>-675404443.25153279</v>
      </c>
      <c r="K92" s="345"/>
      <c r="L92" s="345"/>
      <c r="M92" s="345"/>
      <c r="N92" s="345"/>
      <c r="O92" s="345"/>
      <c r="P92" s="345"/>
      <c r="Q92" s="345"/>
      <c r="R92" s="345"/>
      <c r="S92" s="345"/>
      <c r="T92" s="345"/>
      <c r="U92" s="345"/>
      <c r="V92" s="349"/>
      <c r="W92" s="350"/>
      <c r="X92" s="349"/>
      <c r="Y92" s="431">
        <v>-675404443.25153279</v>
      </c>
    </row>
    <row r="93" spans="1:38" x14ac:dyDescent="0.35">
      <c r="A93" s="384" t="s">
        <v>1393</v>
      </c>
      <c r="B93" s="386">
        <v>-47554831</v>
      </c>
      <c r="C93" s="386">
        <f t="shared" si="19"/>
        <v>-3633189.0883999998</v>
      </c>
      <c r="D93" s="391">
        <f t="shared" si="20"/>
        <v>-51188020.088399999</v>
      </c>
      <c r="E93" s="400"/>
      <c r="F93" s="400"/>
      <c r="G93" s="400"/>
      <c r="H93" s="386">
        <v>-47554831</v>
      </c>
      <c r="I93" s="423">
        <v>-3633189.0883999998</v>
      </c>
      <c r="J93" s="345">
        <v>-51188020.088399999</v>
      </c>
      <c r="K93" s="345"/>
      <c r="L93" s="345"/>
      <c r="M93" s="345"/>
      <c r="N93" s="345"/>
      <c r="O93" s="345"/>
      <c r="P93" s="345"/>
      <c r="Q93" s="345"/>
      <c r="R93" s="345"/>
      <c r="S93" s="345"/>
      <c r="T93" s="345"/>
      <c r="U93" s="345"/>
      <c r="V93" s="349"/>
      <c r="W93" s="350"/>
      <c r="X93" s="349"/>
      <c r="Y93" s="431">
        <v>-51188020.088399999</v>
      </c>
    </row>
    <row r="94" spans="1:38" x14ac:dyDescent="0.35">
      <c r="A94" s="384" t="s">
        <v>1394</v>
      </c>
      <c r="B94" s="386">
        <v>-8000000</v>
      </c>
      <c r="C94" s="386">
        <f t="shared" si="19"/>
        <v>-611200</v>
      </c>
      <c r="D94" s="391">
        <f t="shared" si="20"/>
        <v>-8611200</v>
      </c>
      <c r="E94" s="400"/>
      <c r="F94" s="400"/>
      <c r="G94" s="400"/>
      <c r="H94" s="386">
        <v>-8000000</v>
      </c>
      <c r="I94" s="423">
        <v>-611200</v>
      </c>
      <c r="J94" s="345">
        <v>-8611200</v>
      </c>
      <c r="K94" s="345"/>
      <c r="L94" s="345"/>
      <c r="M94" s="345"/>
      <c r="N94" s="345"/>
      <c r="O94" s="345"/>
      <c r="P94" s="345"/>
      <c r="Q94" s="345"/>
      <c r="R94" s="345"/>
      <c r="S94" s="345"/>
      <c r="T94" s="345"/>
      <c r="U94" s="345"/>
      <c r="V94" s="349"/>
      <c r="W94" s="350"/>
      <c r="X94" s="349"/>
      <c r="Y94" s="431">
        <v>-8611200</v>
      </c>
    </row>
    <row r="95" spans="1:38" x14ac:dyDescent="0.35">
      <c r="A95" s="384" t="s">
        <v>1395</v>
      </c>
      <c r="B95" s="386">
        <v>0</v>
      </c>
      <c r="C95" s="386">
        <v>988008</v>
      </c>
      <c r="D95" s="385"/>
      <c r="E95" s="400"/>
      <c r="F95" s="400"/>
      <c r="G95" s="400"/>
      <c r="H95" s="386">
        <v>0</v>
      </c>
      <c r="I95" s="423">
        <v>988008</v>
      </c>
      <c r="J95" s="345"/>
      <c r="K95" s="345"/>
      <c r="L95" s="345"/>
      <c r="M95" s="345"/>
      <c r="N95" s="345"/>
      <c r="O95" s="345"/>
      <c r="P95" s="345"/>
      <c r="Q95" s="345"/>
      <c r="R95" s="345"/>
      <c r="S95" s="345"/>
      <c r="T95" s="345"/>
      <c r="U95" s="345"/>
      <c r="V95" s="349"/>
      <c r="W95" s="350"/>
      <c r="X95" s="349"/>
      <c r="Y95" s="432"/>
    </row>
    <row r="96" spans="1:38" x14ac:dyDescent="0.35">
      <c r="A96" s="384" t="s">
        <v>1400</v>
      </c>
      <c r="B96" s="386"/>
      <c r="C96" s="386"/>
      <c r="D96" s="385"/>
      <c r="E96" s="400"/>
      <c r="F96" s="400"/>
      <c r="G96" s="400"/>
      <c r="H96" s="386"/>
      <c r="I96" s="423"/>
      <c r="J96" s="345"/>
      <c r="K96" s="345"/>
      <c r="L96" s="345"/>
      <c r="M96" s="345"/>
      <c r="N96" s="345"/>
      <c r="O96" s="345"/>
      <c r="P96" s="345"/>
      <c r="Q96" s="345"/>
      <c r="R96" s="345"/>
      <c r="S96" s="345"/>
      <c r="T96" s="345"/>
      <c r="U96" s="345"/>
      <c r="V96" s="349"/>
      <c r="W96" s="350"/>
      <c r="X96" s="349"/>
      <c r="Y96" s="432"/>
    </row>
    <row r="97" spans="1:26" ht="15" thickBot="1" x14ac:dyDescent="0.4">
      <c r="A97"/>
      <c r="B97" s="418">
        <f>SUM(B91:B96)</f>
        <v>-2283719405.51403</v>
      </c>
      <c r="C97" s="418">
        <f>SUM(C91:C96)</f>
        <v>-173488154.58127189</v>
      </c>
      <c r="D97" s="418">
        <f>SUM(D91:D96)</f>
        <v>-2458195568.0953016</v>
      </c>
      <c r="H97" s="419">
        <v>-2283719405.51403</v>
      </c>
      <c r="I97" s="420">
        <v>-173488154.58127189</v>
      </c>
      <c r="J97" s="345">
        <v>-2458195568.0953016</v>
      </c>
      <c r="K97" s="345"/>
      <c r="L97" s="345"/>
      <c r="M97" s="345"/>
      <c r="N97" s="345"/>
      <c r="O97" s="345"/>
      <c r="P97" s="345"/>
      <c r="Q97" s="345"/>
      <c r="R97" s="345"/>
      <c r="S97" s="345"/>
      <c r="T97" s="345"/>
      <c r="U97" s="345"/>
      <c r="V97" s="349"/>
      <c r="W97" s="350"/>
      <c r="X97" s="349"/>
      <c r="Y97" s="433">
        <v>-2458195568.0953016</v>
      </c>
    </row>
    <row r="98" spans="1:26" x14ac:dyDescent="0.35">
      <c r="I98" s="268"/>
      <c r="J98" s="345"/>
      <c r="K98" s="345"/>
      <c r="L98" s="345"/>
      <c r="M98" s="345"/>
      <c r="N98" s="345"/>
      <c r="O98" s="345"/>
      <c r="P98" s="345"/>
      <c r="Q98" s="345"/>
      <c r="R98" s="345"/>
      <c r="S98" s="345"/>
      <c r="T98" s="345"/>
      <c r="U98" s="345"/>
      <c r="V98" s="349"/>
      <c r="W98" s="350"/>
      <c r="X98" s="349"/>
    </row>
    <row r="99" spans="1:26" x14ac:dyDescent="0.35">
      <c r="H99" s="382">
        <f>AH88</f>
        <v>-2180528032.2140002</v>
      </c>
      <c r="I99" s="268"/>
      <c r="J99" s="345"/>
      <c r="K99" s="345"/>
      <c r="L99" s="345"/>
      <c r="M99" s="345"/>
      <c r="N99" s="345"/>
      <c r="O99" s="345"/>
      <c r="P99" s="345"/>
      <c r="Q99" s="345"/>
      <c r="R99" s="345"/>
      <c r="S99" s="345"/>
      <c r="T99" s="345"/>
      <c r="U99" s="345"/>
      <c r="V99" s="349"/>
      <c r="W99" s="350"/>
      <c r="X99" s="349"/>
      <c r="Y99" s="434">
        <f>I83+Y97</f>
        <v>1050484003.8916426</v>
      </c>
      <c r="Z99" s="247" t="s">
        <v>1461</v>
      </c>
    </row>
    <row r="100" spans="1:26" x14ac:dyDescent="0.35">
      <c r="I100" s="268"/>
      <c r="J100" s="345"/>
      <c r="K100" s="345"/>
      <c r="L100" s="345"/>
      <c r="M100" s="345"/>
      <c r="N100" s="345"/>
      <c r="O100" s="345"/>
      <c r="P100" s="345"/>
      <c r="Q100" s="345"/>
      <c r="R100" s="345"/>
      <c r="S100" s="345"/>
      <c r="T100" s="345"/>
      <c r="U100" s="345"/>
      <c r="V100" s="349"/>
      <c r="W100" s="350"/>
      <c r="X100" s="349"/>
    </row>
    <row r="101" spans="1:26" x14ac:dyDescent="0.35">
      <c r="A101" s="245" t="s">
        <v>1462</v>
      </c>
      <c r="H101" s="270">
        <f>H97-H99</f>
        <v>-103191373.30002975</v>
      </c>
      <c r="I101" s="268"/>
      <c r="J101" s="345"/>
      <c r="K101" s="345"/>
      <c r="L101" s="345"/>
      <c r="M101" s="345"/>
      <c r="N101" s="345"/>
      <c r="O101" s="345"/>
      <c r="P101" s="345"/>
      <c r="Q101" s="345"/>
      <c r="R101" s="345"/>
      <c r="S101" s="345"/>
      <c r="T101" s="345"/>
      <c r="U101" s="345"/>
      <c r="V101" s="349"/>
      <c r="W101" s="350"/>
      <c r="X101" s="349"/>
    </row>
    <row r="102" spans="1:26" x14ac:dyDescent="0.35">
      <c r="I102" s="268"/>
      <c r="J102" s="345"/>
      <c r="K102" s="345"/>
      <c r="L102" s="345"/>
      <c r="M102" s="345"/>
      <c r="N102" s="345"/>
      <c r="O102" s="345"/>
      <c r="P102" s="345"/>
      <c r="Q102" s="345"/>
      <c r="R102" s="345"/>
      <c r="S102" s="345"/>
      <c r="T102" s="345"/>
      <c r="U102" s="345"/>
      <c r="V102" s="349"/>
      <c r="W102" s="350"/>
      <c r="X102" s="349"/>
    </row>
    <row r="103" spans="1:26" x14ac:dyDescent="0.35">
      <c r="I103" s="268"/>
      <c r="J103" s="345"/>
      <c r="K103" s="345"/>
      <c r="L103" s="345"/>
      <c r="M103" s="345"/>
      <c r="N103" s="345"/>
      <c r="O103" s="345"/>
      <c r="P103" s="345"/>
      <c r="Q103" s="345"/>
      <c r="R103" s="345"/>
      <c r="S103" s="345"/>
      <c r="T103" s="345"/>
      <c r="U103" s="345"/>
      <c r="V103" s="349"/>
      <c r="W103" s="350"/>
      <c r="X103" s="349"/>
    </row>
    <row r="104" spans="1:26" hidden="1" x14ac:dyDescent="0.35">
      <c r="I104" s="268"/>
      <c r="J104" s="345"/>
      <c r="K104" s="345"/>
      <c r="L104" s="345"/>
      <c r="M104" s="345"/>
      <c r="N104" s="345"/>
      <c r="O104" s="345"/>
      <c r="P104" s="345"/>
      <c r="Q104" s="345"/>
      <c r="R104" s="345"/>
      <c r="S104" s="345"/>
      <c r="T104" s="345"/>
      <c r="U104" s="345"/>
      <c r="V104" s="349"/>
      <c r="W104" s="350"/>
      <c r="X104" s="349"/>
    </row>
    <row r="105" spans="1:26" hidden="1" x14ac:dyDescent="0.35">
      <c r="I105" s="268"/>
      <c r="J105" s="345"/>
      <c r="K105" s="345"/>
      <c r="L105" s="345"/>
      <c r="M105" s="345"/>
      <c r="N105" s="345"/>
      <c r="O105" s="345"/>
      <c r="P105" s="345"/>
      <c r="Q105" s="345"/>
      <c r="R105" s="345"/>
      <c r="S105" s="345"/>
      <c r="T105" s="345"/>
      <c r="U105" s="345"/>
      <c r="V105" s="349"/>
      <c r="W105" s="350"/>
      <c r="X105" s="349"/>
    </row>
    <row r="106" spans="1:26" hidden="1" x14ac:dyDescent="0.35">
      <c r="I106" s="268"/>
      <c r="J106" s="345"/>
      <c r="K106" s="345"/>
      <c r="L106" s="345"/>
      <c r="M106" s="345"/>
      <c r="N106" s="345"/>
      <c r="O106" s="345"/>
      <c r="P106" s="345"/>
      <c r="Q106" s="345"/>
      <c r="R106" s="345"/>
      <c r="S106" s="345"/>
      <c r="T106" s="345"/>
      <c r="U106" s="345"/>
      <c r="V106" s="349"/>
      <c r="W106" s="350"/>
      <c r="X106" s="349"/>
    </row>
    <row r="107" spans="1:26" ht="15.5" hidden="1" x14ac:dyDescent="0.35">
      <c r="I107" s="246"/>
      <c r="V107" s="348"/>
      <c r="W107" s="348"/>
      <c r="X107" s="348"/>
    </row>
    <row r="108" spans="1:26" s="247" customFormat="1" hidden="1" x14ac:dyDescent="0.35">
      <c r="D108" s="359"/>
      <c r="E108" s="359"/>
      <c r="F108" s="359"/>
      <c r="G108" s="359"/>
      <c r="H108" s="397"/>
      <c r="I108" s="360" t="s">
        <v>295</v>
      </c>
      <c r="J108" s="361">
        <f t="shared" ref="J108:U108" si="21">SUM(J6:J77)</f>
        <v>230696956.49367371</v>
      </c>
      <c r="K108" s="361">
        <f t="shared" si="21"/>
        <v>233735914.53641546</v>
      </c>
      <c r="L108" s="361">
        <f t="shared" si="21"/>
        <v>227282496.18923113</v>
      </c>
      <c r="M108" s="361">
        <f t="shared" si="21"/>
        <v>186561831.06386992</v>
      </c>
      <c r="N108" s="361">
        <f t="shared" si="21"/>
        <v>178315498.03728166</v>
      </c>
      <c r="O108" s="361">
        <f t="shared" si="21"/>
        <v>161083247.50477615</v>
      </c>
      <c r="P108" s="361">
        <f t="shared" si="21"/>
        <v>187224080.74753475</v>
      </c>
      <c r="Q108" s="361">
        <f t="shared" si="21"/>
        <v>172511402.83865952</v>
      </c>
      <c r="R108" s="361">
        <f t="shared" si="21"/>
        <v>176366836.18072453</v>
      </c>
      <c r="S108" s="361">
        <f t="shared" si="21"/>
        <v>171554846.27719498</v>
      </c>
      <c r="T108" s="361">
        <f t="shared" si="21"/>
        <v>222386572.77081013</v>
      </c>
      <c r="U108" s="361">
        <f t="shared" si="21"/>
        <v>199119793.14444</v>
      </c>
      <c r="V108" s="362">
        <f>SUM(J108:U108)</f>
        <v>2346839475.7846122</v>
      </c>
      <c r="W108" s="363">
        <v>0</v>
      </c>
      <c r="X108" s="363">
        <f>W108-V108</f>
        <v>-2346839475.7846122</v>
      </c>
      <c r="Y108" s="435"/>
    </row>
    <row r="109" spans="1:26" hidden="1" x14ac:dyDescent="0.35">
      <c r="D109" s="364"/>
      <c r="E109" s="364"/>
      <c r="F109" s="364"/>
      <c r="G109" s="364"/>
      <c r="H109" s="396"/>
      <c r="I109" s="360" t="s">
        <v>296</v>
      </c>
      <c r="J109" s="365">
        <v>41810021.848123699</v>
      </c>
      <c r="K109" s="366">
        <v>41206429.904178157</v>
      </c>
      <c r="L109" s="366">
        <v>68600657.739569858</v>
      </c>
      <c r="M109" s="366">
        <v>59021723.862067528</v>
      </c>
      <c r="N109" s="366">
        <v>58150159.11489331</v>
      </c>
      <c r="O109" s="366">
        <v>59569945.010229565</v>
      </c>
      <c r="P109" s="366">
        <v>58288622.516332492</v>
      </c>
      <c r="Q109" s="366">
        <v>56324126.17557238</v>
      </c>
      <c r="R109" s="366">
        <v>62239644.525271125</v>
      </c>
      <c r="S109" s="366">
        <v>62997874.264494985</v>
      </c>
      <c r="T109" s="366">
        <v>98350032.428326175</v>
      </c>
      <c r="U109" s="366">
        <v>71420958.610258952</v>
      </c>
      <c r="V109" s="367">
        <f t="shared" ref="V109:V113" si="22">SUM(J109:U109)</f>
        <v>737980195.99931824</v>
      </c>
      <c r="W109" s="368">
        <v>0</v>
      </c>
      <c r="X109" s="369">
        <f>W109-V109</f>
        <v>-737980195.99931824</v>
      </c>
    </row>
    <row r="110" spans="1:26" ht="15" hidden="1" thickBot="1" x14ac:dyDescent="0.4">
      <c r="D110" s="364"/>
      <c r="E110" s="364"/>
      <c r="F110" s="364"/>
      <c r="G110" s="364"/>
      <c r="H110" s="396"/>
      <c r="I110" s="360" t="s">
        <v>297</v>
      </c>
      <c r="J110" s="370">
        <v>189164282.64662707</v>
      </c>
      <c r="K110" s="371">
        <v>201314188.03806213</v>
      </c>
      <c r="L110" s="371">
        <v>150178856.56073967</v>
      </c>
      <c r="M110" s="371">
        <v>128162371.46621238</v>
      </c>
      <c r="N110" s="371">
        <v>116577571.60940053</v>
      </c>
      <c r="O110" s="371">
        <v>96569929.788977996</v>
      </c>
      <c r="P110" s="371">
        <v>126670604.00590566</v>
      </c>
      <c r="Q110" s="371">
        <v>110779610.86327973</v>
      </c>
      <c r="R110" s="371">
        <v>107437141.86988296</v>
      </c>
      <c r="S110" s="371">
        <v>100225352.72957374</v>
      </c>
      <c r="T110" s="371">
        <v>112418815.74573717</v>
      </c>
      <c r="U110" s="371">
        <v>119360554.67546199</v>
      </c>
      <c r="V110" s="372">
        <f t="shared" si="22"/>
        <v>1558859279.999861</v>
      </c>
      <c r="W110" s="373">
        <v>0</v>
      </c>
      <c r="X110" s="374">
        <f>W110-V110</f>
        <v>-1558859279.999861</v>
      </c>
    </row>
    <row r="111" spans="1:26" hidden="1" x14ac:dyDescent="0.35">
      <c r="D111" s="364"/>
      <c r="E111" s="364"/>
      <c r="F111" s="364"/>
      <c r="G111" s="364"/>
      <c r="H111" s="396"/>
      <c r="I111" s="360" t="s">
        <v>298</v>
      </c>
      <c r="J111" s="375">
        <f>13460000/12</f>
        <v>1121666.6666666667</v>
      </c>
      <c r="K111" s="375">
        <f t="shared" ref="K111:U111" si="23">13460000/12</f>
        <v>1121666.6666666667</v>
      </c>
      <c r="L111" s="375">
        <f t="shared" si="23"/>
        <v>1121666.6666666667</v>
      </c>
      <c r="M111" s="375">
        <f t="shared" si="23"/>
        <v>1121666.6666666667</v>
      </c>
      <c r="N111" s="375">
        <f t="shared" si="23"/>
        <v>1121666.6666666667</v>
      </c>
      <c r="O111" s="375">
        <f t="shared" si="23"/>
        <v>1121666.6666666667</v>
      </c>
      <c r="P111" s="375">
        <f t="shared" si="23"/>
        <v>1121666.6666666667</v>
      </c>
      <c r="Q111" s="375">
        <f t="shared" si="23"/>
        <v>1121666.6666666667</v>
      </c>
      <c r="R111" s="375">
        <f t="shared" si="23"/>
        <v>1121666.6666666667</v>
      </c>
      <c r="S111" s="375">
        <f t="shared" si="23"/>
        <v>1121666.6666666667</v>
      </c>
      <c r="T111" s="375">
        <f t="shared" si="23"/>
        <v>1121666.6666666667</v>
      </c>
      <c r="U111" s="375">
        <f t="shared" si="23"/>
        <v>1121666.6666666667</v>
      </c>
      <c r="V111" s="362">
        <f t="shared" si="22"/>
        <v>13459999.999999998</v>
      </c>
      <c r="W111" s="376">
        <v>0</v>
      </c>
      <c r="X111" s="376">
        <f>W111-V111</f>
        <v>-13459999.999999998</v>
      </c>
    </row>
    <row r="112" spans="1:26" hidden="1" x14ac:dyDescent="0.35">
      <c r="D112" s="364"/>
      <c r="E112" s="364"/>
      <c r="F112" s="364"/>
      <c r="G112" s="364"/>
      <c r="H112" s="396"/>
      <c r="I112" s="360" t="s">
        <v>299</v>
      </c>
      <c r="J112" s="361">
        <f>44280000/12</f>
        <v>3690000</v>
      </c>
      <c r="K112" s="361">
        <f t="shared" ref="K112:U112" si="24">44280000/12</f>
        <v>3690000</v>
      </c>
      <c r="L112" s="361">
        <f t="shared" si="24"/>
        <v>3690000</v>
      </c>
      <c r="M112" s="361">
        <f t="shared" si="24"/>
        <v>3690000</v>
      </c>
      <c r="N112" s="361">
        <f t="shared" si="24"/>
        <v>3690000</v>
      </c>
      <c r="O112" s="361">
        <f t="shared" si="24"/>
        <v>3690000</v>
      </c>
      <c r="P112" s="361">
        <f t="shared" si="24"/>
        <v>3690000</v>
      </c>
      <c r="Q112" s="361">
        <f t="shared" si="24"/>
        <v>3690000</v>
      </c>
      <c r="R112" s="361">
        <f t="shared" si="24"/>
        <v>3690000</v>
      </c>
      <c r="S112" s="361">
        <f t="shared" si="24"/>
        <v>3690000</v>
      </c>
      <c r="T112" s="361">
        <f t="shared" si="24"/>
        <v>3690000</v>
      </c>
      <c r="U112" s="361">
        <f t="shared" si="24"/>
        <v>3690000</v>
      </c>
      <c r="V112" s="362">
        <f t="shared" si="22"/>
        <v>44280000</v>
      </c>
      <c r="W112" s="377">
        <v>0</v>
      </c>
      <c r="X112" s="376">
        <v>-38182000</v>
      </c>
    </row>
    <row r="113" spans="4:24" hidden="1" x14ac:dyDescent="0.35">
      <c r="D113" s="364"/>
      <c r="E113" s="364"/>
      <c r="F113" s="364"/>
      <c r="G113" s="364"/>
      <c r="H113" s="396"/>
      <c r="I113" s="378" t="s">
        <v>1388</v>
      </c>
      <c r="J113" s="379">
        <f>988008/12</f>
        <v>82334</v>
      </c>
      <c r="K113" s="379">
        <f t="shared" ref="K113:U113" si="25">988008/12</f>
        <v>82334</v>
      </c>
      <c r="L113" s="379">
        <f t="shared" si="25"/>
        <v>82334</v>
      </c>
      <c r="M113" s="379">
        <f t="shared" si="25"/>
        <v>82334</v>
      </c>
      <c r="N113" s="379">
        <f t="shared" si="25"/>
        <v>82334</v>
      </c>
      <c r="O113" s="379">
        <f t="shared" si="25"/>
        <v>82334</v>
      </c>
      <c r="P113" s="379">
        <f t="shared" si="25"/>
        <v>82334</v>
      </c>
      <c r="Q113" s="379">
        <f t="shared" si="25"/>
        <v>82334</v>
      </c>
      <c r="R113" s="379">
        <f t="shared" si="25"/>
        <v>82334</v>
      </c>
      <c r="S113" s="379">
        <f t="shared" si="25"/>
        <v>82334</v>
      </c>
      <c r="T113" s="379">
        <f t="shared" si="25"/>
        <v>82334</v>
      </c>
      <c r="U113" s="379">
        <f t="shared" si="25"/>
        <v>82334</v>
      </c>
      <c r="V113" s="380">
        <f t="shared" si="22"/>
        <v>988008</v>
      </c>
      <c r="W113" s="377">
        <v>0</v>
      </c>
      <c r="X113" s="376">
        <v>-38182000</v>
      </c>
    </row>
    <row r="114" spans="4:24" hidden="1" x14ac:dyDescent="0.35">
      <c r="D114" s="364"/>
      <c r="E114" s="364"/>
      <c r="F114" s="364"/>
      <c r="G114" s="364"/>
      <c r="H114" s="396"/>
      <c r="I114" s="364"/>
      <c r="J114" s="364"/>
      <c r="K114" s="364"/>
      <c r="L114" s="364"/>
      <c r="M114" s="364"/>
      <c r="N114" s="364"/>
      <c r="O114" s="364"/>
      <c r="P114" s="364"/>
      <c r="Q114" s="364"/>
      <c r="R114" s="364"/>
      <c r="S114" s="364"/>
      <c r="T114" s="364"/>
      <c r="U114" s="364"/>
      <c r="V114" s="347">
        <f>V108+V111+V112+V113</f>
        <v>2405567483.7846122</v>
      </c>
      <c r="W114" s="285"/>
      <c r="X114" s="285"/>
    </row>
    <row r="115" spans="4:24" hidden="1" x14ac:dyDescent="0.35">
      <c r="V115" s="285"/>
      <c r="W115" s="285"/>
      <c r="X115" s="285"/>
    </row>
    <row r="116" spans="4:24" hidden="1" x14ac:dyDescent="0.35">
      <c r="D116" s="381" t="s">
        <v>1389</v>
      </c>
      <c r="I116" s="270">
        <f>I77+I73+I69+I63+I57+I50+I43+I36+I31+I26+I24+I22+I17+I12+I9+I6</f>
        <v>3482198594.4099441</v>
      </c>
    </row>
    <row r="117" spans="4:24" hidden="1" x14ac:dyDescent="0.35">
      <c r="J117" s="276"/>
      <c r="K117" s="276"/>
      <c r="L117" s="276"/>
      <c r="M117" s="276"/>
      <c r="N117" s="276"/>
      <c r="O117" s="276"/>
      <c r="P117" s="276"/>
      <c r="Q117" s="276"/>
      <c r="R117" s="276"/>
      <c r="S117" s="276"/>
      <c r="T117" s="276"/>
      <c r="U117" s="276"/>
      <c r="V117" s="276">
        <v>2404579475.7846112</v>
      </c>
    </row>
    <row r="118" spans="4:24" hidden="1" x14ac:dyDescent="0.35">
      <c r="I118" s="270">
        <f>X108</f>
        <v>-2346839475.7846122</v>
      </c>
    </row>
    <row r="119" spans="4:24" hidden="1" x14ac:dyDescent="0.35">
      <c r="V119" s="276">
        <f>V114-V117</f>
        <v>988008.00000095367</v>
      </c>
    </row>
    <row r="120" spans="4:24" hidden="1" x14ac:dyDescent="0.35">
      <c r="D120" s="381" t="s">
        <v>1390</v>
      </c>
      <c r="I120" s="382">
        <f>I116+I118</f>
        <v>1135359118.6253319</v>
      </c>
    </row>
  </sheetData>
  <mergeCells count="1">
    <mergeCell ref="AD90:AF90"/>
  </mergeCells>
  <pageMargins left="0.7" right="0.7" top="0.75" bottom="0.75" header="0.3" footer="0.3"/>
  <pageSetup paperSize="9" orientation="portrait" horizontalDpi="4294967292" verticalDpi="4294967292" r:id="rId1"/>
  <colBreaks count="1" manualBreakCount="1">
    <brk id="9"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113"/>
  <sheetViews>
    <sheetView zoomScale="86" zoomScaleNormal="86" workbookViewId="0">
      <selection activeCell="G27" sqref="G27"/>
    </sheetView>
  </sheetViews>
  <sheetFormatPr defaultColWidth="8.6328125" defaultRowHeight="14.5" x14ac:dyDescent="0.35"/>
  <cols>
    <col min="1" max="1" width="35.36328125" style="245" customWidth="1"/>
    <col min="2" max="2" width="18.6328125" style="395" customWidth="1"/>
    <col min="3" max="3" width="21.453125" style="245" customWidth="1"/>
    <col min="4" max="4" width="20.36328125" style="430" customWidth="1"/>
    <col min="5" max="5" width="10.36328125" style="245" customWidth="1"/>
    <col min="6" max="6" width="8.6328125" style="245"/>
    <col min="7" max="7" width="15.453125" style="245" bestFit="1" customWidth="1"/>
    <col min="8" max="16384" width="8.6328125" style="245"/>
  </cols>
  <sheetData>
    <row r="1" spans="1:4" ht="21" x14ac:dyDescent="0.5">
      <c r="A1" s="567" t="s">
        <v>1628</v>
      </c>
    </row>
    <row r="3" spans="1:4" s="247" customFormat="1" ht="49.5" customHeight="1" x14ac:dyDescent="0.35">
      <c r="A3" s="579" t="s">
        <v>1472</v>
      </c>
      <c r="B3" s="580" t="s">
        <v>1439</v>
      </c>
      <c r="C3" s="581" t="s">
        <v>1473</v>
      </c>
      <c r="D3" s="581" t="s">
        <v>1474</v>
      </c>
    </row>
    <row r="4" spans="1:4" s="247" customFormat="1" x14ac:dyDescent="0.35">
      <c r="A4" s="400" t="s">
        <v>1482</v>
      </c>
      <c r="B4" s="413">
        <v>27929.25</v>
      </c>
      <c r="C4" s="547">
        <f>SUM(C5:C7)</f>
        <v>116057405.4396224</v>
      </c>
      <c r="D4" s="553">
        <f>AVERAGE(D5:D7)</f>
        <v>0.1459031106660395</v>
      </c>
    </row>
    <row r="5" spans="1:4" s="247" customFormat="1" hidden="1" x14ac:dyDescent="0.35">
      <c r="A5" s="401" t="s">
        <v>1487</v>
      </c>
      <c r="B5" s="413"/>
      <c r="C5" s="547">
        <f>+'Tariff Rand Values Old'!I3+'Tariff Rand Values Old'!I7</f>
        <v>26480977.577</v>
      </c>
      <c r="D5" s="553">
        <f>'Annexure A'!E6</f>
        <v>0.14590019012495803</v>
      </c>
    </row>
    <row r="6" spans="1:4" s="247" customFormat="1" hidden="1" x14ac:dyDescent="0.35">
      <c r="A6" s="401" t="s">
        <v>307</v>
      </c>
      <c r="B6" s="413"/>
      <c r="C6" s="547">
        <f>+'Tariff Rand Values Old'!I4+'Tariff Rand Values Old'!I8</f>
        <v>56322878.620816447</v>
      </c>
      <c r="D6" s="553">
        <f>'Annexure A'!E7</f>
        <v>0.14589368408171893</v>
      </c>
    </row>
    <row r="7" spans="1:4" s="247" customFormat="1" hidden="1" x14ac:dyDescent="0.35">
      <c r="A7" s="401" t="s">
        <v>307</v>
      </c>
      <c r="B7" s="414"/>
      <c r="C7" s="547">
        <f>+'Tariff Rand Values Old'!I5+'Tariff Rand Values Old'!I9</f>
        <v>33253549.241805959</v>
      </c>
      <c r="D7" s="553">
        <f>'Annexure A'!E8</f>
        <v>0.14591545779144155</v>
      </c>
    </row>
    <row r="8" spans="1:4" x14ac:dyDescent="0.35">
      <c r="A8" s="404" t="s">
        <v>1490</v>
      </c>
      <c r="B8" s="551">
        <v>126152</v>
      </c>
      <c r="C8" s="552">
        <f>SUM(C9:C10)</f>
        <v>1595593567.1579618</v>
      </c>
      <c r="D8" s="553">
        <f>AVERAGE(D9:D10)</f>
        <v>0.14588399163289253</v>
      </c>
    </row>
    <row r="9" spans="1:4" hidden="1" x14ac:dyDescent="0.35">
      <c r="A9" s="401" t="s">
        <v>305</v>
      </c>
      <c r="B9" s="551"/>
      <c r="C9" s="552">
        <f>'Tariff Rand Values Old'!I11</f>
        <v>1203836752.081898</v>
      </c>
      <c r="D9" s="553">
        <f>'Annexure A'!E14</f>
        <v>0.1458801388715637</v>
      </c>
    </row>
    <row r="10" spans="1:4" hidden="1" x14ac:dyDescent="0.35">
      <c r="A10" s="401" t="s">
        <v>305</v>
      </c>
      <c r="B10" s="551"/>
      <c r="C10" s="552">
        <f>'Tariff Rand Values Old'!I12</f>
        <v>391756815.07606375</v>
      </c>
      <c r="D10" s="553">
        <f>'Annexure A'!E15</f>
        <v>0.14588784439422137</v>
      </c>
    </row>
    <row r="11" spans="1:4" x14ac:dyDescent="0.35">
      <c r="A11" s="404" t="s">
        <v>1440</v>
      </c>
      <c r="B11" s="551">
        <v>2647</v>
      </c>
      <c r="C11" s="552">
        <f>SUM(C12:C13)</f>
        <v>61340986.456276469</v>
      </c>
      <c r="D11" s="553">
        <f>AVERAGE(D12:D13)</f>
        <v>0.14588399163289253</v>
      </c>
    </row>
    <row r="12" spans="1:4" hidden="1" x14ac:dyDescent="0.35">
      <c r="A12" s="401" t="s">
        <v>305</v>
      </c>
      <c r="B12" s="413"/>
      <c r="C12" s="408">
        <f>'Tariff Rand Values Old'!I14</f>
        <v>15243600.432479998</v>
      </c>
      <c r="D12" s="553">
        <f>'Annexure A'!E21</f>
        <v>0.1458801388715637</v>
      </c>
    </row>
    <row r="13" spans="1:4" hidden="1" x14ac:dyDescent="0.35">
      <c r="A13" s="401" t="s">
        <v>305</v>
      </c>
      <c r="B13" s="413"/>
      <c r="C13" s="408">
        <f>'Tariff Rand Values Old'!I15</f>
        <v>46097386.023796469</v>
      </c>
      <c r="D13" s="553">
        <f>'Annexure A'!E22</f>
        <v>0.14588784439422137</v>
      </c>
    </row>
    <row r="14" spans="1:4" x14ac:dyDescent="0.35">
      <c r="A14" s="400" t="s">
        <v>1435</v>
      </c>
      <c r="B14" s="413">
        <f>B15+B20</f>
        <v>182</v>
      </c>
      <c r="C14" s="408">
        <f>C15+C20</f>
        <v>31456474.902939986</v>
      </c>
      <c r="D14" s="553">
        <f>AVERAGE(D15,D20)</f>
        <v>0.14589242268544528</v>
      </c>
    </row>
    <row r="15" spans="1:4" hidden="1" x14ac:dyDescent="0.35">
      <c r="A15" s="400" t="s">
        <v>536</v>
      </c>
      <c r="B15" s="413">
        <v>176</v>
      </c>
      <c r="C15" s="408">
        <f>SUM(C16:C19)</f>
        <v>494394.74063754594</v>
      </c>
      <c r="D15" s="553">
        <f>AVERAGE(D16:D19)</f>
        <v>0.14589548081393583</v>
      </c>
    </row>
    <row r="16" spans="1:4" hidden="1" x14ac:dyDescent="0.35">
      <c r="A16" s="401" t="s">
        <v>368</v>
      </c>
      <c r="B16" s="413"/>
      <c r="C16" s="408">
        <f>'Tariff Rand Values Old'!I17</f>
        <v>218049.892994986</v>
      </c>
      <c r="D16" s="553">
        <f>+'Annexure A'!E35</f>
        <v>0.14589619641266993</v>
      </c>
    </row>
    <row r="17" spans="1:4" hidden="1" x14ac:dyDescent="0.35">
      <c r="A17" s="401" t="s">
        <v>364</v>
      </c>
      <c r="B17" s="413"/>
      <c r="C17" s="408">
        <f>'Tariff Rand Values Old'!I18</f>
        <v>71018.888369087988</v>
      </c>
      <c r="D17" s="553">
        <f>'Annexure A'!E28</f>
        <v>0.14587466329292315</v>
      </c>
    </row>
    <row r="18" spans="1:4" hidden="1" x14ac:dyDescent="0.35">
      <c r="A18" s="401" t="s">
        <v>366</v>
      </c>
      <c r="B18" s="413"/>
      <c r="C18" s="408">
        <f>'Tariff Rand Values Old'!I19</f>
        <v>92715.574037407991</v>
      </c>
      <c r="D18" s="553">
        <f>'Annexure A'!E29</f>
        <v>0.14592808984390149</v>
      </c>
    </row>
    <row r="19" spans="1:4" hidden="1" x14ac:dyDescent="0.35">
      <c r="A19" s="401" t="s">
        <v>362</v>
      </c>
      <c r="B19" s="413"/>
      <c r="C19" s="408">
        <f>'Tariff Rand Values Old'!I20</f>
        <v>112610.385236064</v>
      </c>
      <c r="D19" s="553">
        <f>'Annexure A'!E30</f>
        <v>0.1458829737062487</v>
      </c>
    </row>
    <row r="20" spans="1:4" hidden="1" x14ac:dyDescent="0.35">
      <c r="A20" s="400" t="s">
        <v>537</v>
      </c>
      <c r="B20" s="415">
        <v>6</v>
      </c>
      <c r="C20" s="408">
        <f>SUM(C21:C24)</f>
        <v>30962080.162302442</v>
      </c>
      <c r="D20" s="553">
        <f>AVERAGE(D21:D24)</f>
        <v>0.14588936455695473</v>
      </c>
    </row>
    <row r="21" spans="1:4" hidden="1" x14ac:dyDescent="0.35">
      <c r="A21" s="402" t="s">
        <v>371</v>
      </c>
      <c r="B21" s="413"/>
      <c r="C21" s="408">
        <f>'Tariff Rand Values Old'!I22</f>
        <v>1539242.7276760554</v>
      </c>
      <c r="D21" s="553">
        <f>'Annexure A'!E27</f>
        <v>0.14587173138474552</v>
      </c>
    </row>
    <row r="22" spans="1:4" hidden="1" x14ac:dyDescent="0.35">
      <c r="A22" s="402" t="s">
        <v>381</v>
      </c>
      <c r="B22" s="413"/>
      <c r="C22" s="408">
        <f>'Tariff Rand Values Old'!I23</f>
        <v>8025453.3474392481</v>
      </c>
      <c r="D22" s="553">
        <f>'Annexure A'!E28</f>
        <v>0.14587466329292315</v>
      </c>
    </row>
    <row r="23" spans="1:4" hidden="1" x14ac:dyDescent="0.35">
      <c r="A23" s="402" t="s">
        <v>383</v>
      </c>
      <c r="B23" s="413"/>
      <c r="C23" s="408">
        <f>'Tariff Rand Values Old'!I24</f>
        <v>11149306.256207936</v>
      </c>
      <c r="D23" s="553">
        <f>'Annexure A'!E29</f>
        <v>0.14592808984390149</v>
      </c>
    </row>
    <row r="24" spans="1:4" hidden="1" x14ac:dyDescent="0.35">
      <c r="A24" s="402" t="s">
        <v>379</v>
      </c>
      <c r="B24" s="413"/>
      <c r="C24" s="408">
        <f>'Tariff Rand Values Old'!I25</f>
        <v>10248077.8309792</v>
      </c>
      <c r="D24" s="553">
        <f>'Annexure A'!E30</f>
        <v>0.1458829737062487</v>
      </c>
    </row>
    <row r="25" spans="1:4" x14ac:dyDescent="0.35">
      <c r="A25" s="400" t="s">
        <v>545</v>
      </c>
      <c r="B25" s="413">
        <v>1725</v>
      </c>
      <c r="C25" s="408">
        <f>C26</f>
        <v>83104871.201844469</v>
      </c>
      <c r="D25" s="553">
        <f>D26</f>
        <v>0.14591829813780383</v>
      </c>
    </row>
    <row r="26" spans="1:4" hidden="1" x14ac:dyDescent="0.35">
      <c r="A26" s="403" t="s">
        <v>313</v>
      </c>
      <c r="B26" s="413"/>
      <c r="C26" s="408">
        <f>'Tariff Rand Values Old'!I26</f>
        <v>83104871.201844469</v>
      </c>
      <c r="D26" s="553">
        <f>'Annexure A'!E44</f>
        <v>0.14591829813780383</v>
      </c>
    </row>
    <row r="27" spans="1:4" x14ac:dyDescent="0.35">
      <c r="A27" s="400" t="s">
        <v>546</v>
      </c>
      <c r="B27" s="416">
        <v>1420</v>
      </c>
      <c r="C27" s="408">
        <f>C28</f>
        <v>26374477.544500001</v>
      </c>
      <c r="D27" s="429">
        <f>D28</f>
        <v>0.14591829813780383</v>
      </c>
    </row>
    <row r="28" spans="1:4" hidden="1" x14ac:dyDescent="0.35">
      <c r="A28" s="390" t="s">
        <v>313</v>
      </c>
      <c r="B28" s="416"/>
      <c r="C28" s="408">
        <f>'Tariff Rand Values Old'!I28</f>
        <v>26374477.544500001</v>
      </c>
      <c r="D28" s="429">
        <f>'Annexure A'!E50</f>
        <v>0.14591829813780383</v>
      </c>
    </row>
    <row r="29" spans="1:4" x14ac:dyDescent="0.35">
      <c r="A29" s="400" t="s">
        <v>1434</v>
      </c>
      <c r="B29" s="416">
        <f>B30+B35</f>
        <v>609</v>
      </c>
      <c r="C29" s="408">
        <f>C30+C35</f>
        <v>70925646.268497691</v>
      </c>
      <c r="D29" s="429">
        <f>AVERAGE(D30,D35)</f>
        <v>0.1049973611875871</v>
      </c>
    </row>
    <row r="30" spans="1:4" hidden="1" x14ac:dyDescent="0.35">
      <c r="A30" s="400" t="s">
        <v>538</v>
      </c>
      <c r="B30" s="416">
        <v>594</v>
      </c>
      <c r="C30" s="408">
        <f>SUM(C31:C34)</f>
        <v>469732.26184575184</v>
      </c>
      <c r="D30" s="429">
        <f>AVERAGE(D31:D34)</f>
        <v>0.10499929713535394</v>
      </c>
    </row>
    <row r="31" spans="1:4" hidden="1" x14ac:dyDescent="0.35">
      <c r="A31" s="390" t="s">
        <v>392</v>
      </c>
      <c r="B31" s="416"/>
      <c r="C31" s="408">
        <f>'Tariff Rand Values Old'!I31</f>
        <v>212777.71449075188</v>
      </c>
      <c r="D31" s="429">
        <f>+'Annexure A'!E64</f>
        <v>0.10499696143968928</v>
      </c>
    </row>
    <row r="32" spans="1:4" hidden="1" x14ac:dyDescent="0.35">
      <c r="A32" s="390" t="s">
        <v>396</v>
      </c>
      <c r="B32" s="416"/>
      <c r="C32" s="408">
        <f>'Tariff Rand Values Old'!I32</f>
        <v>67951.113794999997</v>
      </c>
      <c r="D32" s="429">
        <f>'Annexure A'!E57</f>
        <v>0.1049899771354959</v>
      </c>
    </row>
    <row r="33" spans="1:4" hidden="1" x14ac:dyDescent="0.35">
      <c r="A33" s="390" t="s">
        <v>398</v>
      </c>
      <c r="B33" s="416"/>
      <c r="C33" s="408">
        <f>'Tariff Rand Values Old'!I33</f>
        <v>96953.453549999991</v>
      </c>
      <c r="D33" s="429">
        <f>'Annexure A'!E58</f>
        <v>0.10502334339899044</v>
      </c>
    </row>
    <row r="34" spans="1:4" hidden="1" x14ac:dyDescent="0.35">
      <c r="A34" s="390" t="s">
        <v>394</v>
      </c>
      <c r="B34" s="416"/>
      <c r="C34" s="408">
        <f>'Tariff Rand Values Old'!I34</f>
        <v>92049.980009999999</v>
      </c>
      <c r="D34" s="429">
        <f>'Annexure A'!E59</f>
        <v>0.10498690656724013</v>
      </c>
    </row>
    <row r="35" spans="1:4" hidden="1" x14ac:dyDescent="0.35">
      <c r="A35" s="400" t="s">
        <v>539</v>
      </c>
      <c r="B35" s="415">
        <v>15</v>
      </c>
      <c r="C35" s="408">
        <f>SUM(C36:C39)</f>
        <v>70455914.006651938</v>
      </c>
      <c r="D35" s="429">
        <f>AVERAGE(D36:D39)</f>
        <v>0.10499542523982025</v>
      </c>
    </row>
    <row r="36" spans="1:4" hidden="1" x14ac:dyDescent="0.35">
      <c r="A36" s="390" t="s">
        <v>401</v>
      </c>
      <c r="B36" s="416"/>
      <c r="C36" s="408">
        <f>'Tariff Rand Values Old'!I36</f>
        <v>10450696.458946936</v>
      </c>
      <c r="D36" s="429">
        <f>'Annexure A'!E56</f>
        <v>0.10498147385755452</v>
      </c>
    </row>
    <row r="37" spans="1:4" hidden="1" x14ac:dyDescent="0.35">
      <c r="A37" s="390" t="s">
        <v>403</v>
      </c>
      <c r="B37" s="416"/>
      <c r="C37" s="408">
        <f>'Tariff Rand Values Old'!I37</f>
        <v>16691445.795681998</v>
      </c>
      <c r="D37" s="429">
        <f>'Annexure A'!E57</f>
        <v>0.1049899771354959</v>
      </c>
    </row>
    <row r="38" spans="1:4" hidden="1" x14ac:dyDescent="0.35">
      <c r="A38" s="390" t="s">
        <v>405</v>
      </c>
      <c r="B38" s="416"/>
      <c r="C38" s="408">
        <f>'Tariff Rand Values Old'!I38</f>
        <v>24598545.905324999</v>
      </c>
      <c r="D38" s="429">
        <f>'Annexure A'!E58</f>
        <v>0.10502334339899044</v>
      </c>
    </row>
    <row r="39" spans="1:4" hidden="1" x14ac:dyDescent="0.35">
      <c r="A39" s="390" t="s">
        <v>407</v>
      </c>
      <c r="B39" s="416"/>
      <c r="C39" s="408">
        <f>'Tariff Rand Values Old'!I39</f>
        <v>18715225.846698001</v>
      </c>
      <c r="D39" s="429">
        <f>'Annexure A'!E59</f>
        <v>0.10498690656724013</v>
      </c>
    </row>
    <row r="40" spans="1:4" x14ac:dyDescent="0.35">
      <c r="A40" s="400" t="s">
        <v>254</v>
      </c>
      <c r="B40" s="416">
        <v>4</v>
      </c>
      <c r="C40" s="408">
        <f>SUM(C41:C46)</f>
        <v>123330317.31188478</v>
      </c>
      <c r="D40" s="429">
        <f>AVERAGE(D41:D46)</f>
        <v>7.7973499541506217E-2</v>
      </c>
    </row>
    <row r="41" spans="1:4" hidden="1" x14ac:dyDescent="0.35">
      <c r="A41" s="390" t="s">
        <v>256</v>
      </c>
      <c r="B41" s="416"/>
      <c r="C41" s="408">
        <f>'Tariff Rand Values Old'!I41</f>
        <v>192857.86691778104</v>
      </c>
      <c r="D41" s="429">
        <f>'Annexure A'!E72</f>
        <v>4.4000270471296288E-2</v>
      </c>
    </row>
    <row r="42" spans="1:4" hidden="1" x14ac:dyDescent="0.35">
      <c r="A42" s="390" t="s">
        <v>256</v>
      </c>
      <c r="B42" s="416"/>
      <c r="C42" s="408">
        <f>'Tariff Rand Values Old'!I42</f>
        <v>12346066.521615002</v>
      </c>
      <c r="D42" s="429">
        <f>'Annexure A'!E73</f>
        <v>0.14596934713375798</v>
      </c>
    </row>
    <row r="43" spans="1:4" hidden="1" x14ac:dyDescent="0.35">
      <c r="A43" s="390" t="s">
        <v>257</v>
      </c>
      <c r="B43" s="416"/>
      <c r="C43" s="408">
        <f>'Tariff Rand Values Old'!I43</f>
        <v>24766709.849765994</v>
      </c>
      <c r="D43" s="429">
        <f>'Annexure A'!E74</f>
        <v>0.14588415940579913</v>
      </c>
    </row>
    <row r="44" spans="1:4" hidden="1" x14ac:dyDescent="0.35">
      <c r="A44" s="390" t="s">
        <v>435</v>
      </c>
      <c r="B44" s="416"/>
      <c r="C44" s="408">
        <f>'Tariff Rand Values Old'!I44</f>
        <v>22729547.810379002</v>
      </c>
      <c r="D44" s="429">
        <f>'Annexure A'!E75</f>
        <v>4.3976875966630136E-2</v>
      </c>
    </row>
    <row r="45" spans="1:4" hidden="1" x14ac:dyDescent="0.35">
      <c r="A45" s="390" t="s">
        <v>438</v>
      </c>
      <c r="B45" s="416"/>
      <c r="C45" s="408">
        <f>'Tariff Rand Values Old'!I45</f>
        <v>31859388.168552</v>
      </c>
      <c r="D45" s="429">
        <f>'Annexure A'!E76</f>
        <v>4.3951382003448169E-2</v>
      </c>
    </row>
    <row r="46" spans="1:4" hidden="1" x14ac:dyDescent="0.35">
      <c r="A46" s="390" t="s">
        <v>491</v>
      </c>
      <c r="B46" s="416"/>
      <c r="C46" s="408">
        <f>'Tariff Rand Values Old'!I46</f>
        <v>31435747.094655003</v>
      </c>
      <c r="D46" s="429">
        <f>'Annexure A'!E77</f>
        <v>4.4058962268105573E-2</v>
      </c>
    </row>
    <row r="47" spans="1:4" x14ac:dyDescent="0.35">
      <c r="A47" s="400" t="s">
        <v>261</v>
      </c>
      <c r="B47" s="416">
        <v>168</v>
      </c>
      <c r="C47" s="408">
        <f>SUM(C48:C53)</f>
        <v>819501809.94078648</v>
      </c>
      <c r="D47" s="429">
        <f>AVERAGE(D48:D53)</f>
        <v>7.7956773011581312E-2</v>
      </c>
    </row>
    <row r="48" spans="1:4" hidden="1" x14ac:dyDescent="0.35">
      <c r="A48" s="390" t="s">
        <v>262</v>
      </c>
      <c r="B48" s="416"/>
      <c r="C48" s="408">
        <f>'Tariff Rand Values Old'!I48</f>
        <v>7028455.4966415176</v>
      </c>
      <c r="D48" s="429">
        <f>'Annexure A'!E82</f>
        <v>4.3998285609323062E-2</v>
      </c>
    </row>
    <row r="49" spans="1:4" hidden="1" x14ac:dyDescent="0.35">
      <c r="A49" s="390" t="s">
        <v>262</v>
      </c>
      <c r="B49" s="416"/>
      <c r="C49" s="408">
        <f>'Tariff Rand Values Old'!I49</f>
        <v>77947021.310087994</v>
      </c>
      <c r="D49" s="429">
        <f>'Annexure A'!E83</f>
        <v>0.14583183614804174</v>
      </c>
    </row>
    <row r="50" spans="1:4" hidden="1" x14ac:dyDescent="0.35">
      <c r="A50" s="390" t="s">
        <v>263</v>
      </c>
      <c r="B50" s="416"/>
      <c r="C50" s="408">
        <f>'Tariff Rand Values Old'!I50</f>
        <v>178156428.86379784</v>
      </c>
      <c r="D50" s="429">
        <f>'Annexure A'!E84</f>
        <v>0.1459650400582666</v>
      </c>
    </row>
    <row r="51" spans="1:4" hidden="1" x14ac:dyDescent="0.35">
      <c r="A51" s="390" t="s">
        <v>423</v>
      </c>
      <c r="B51" s="416"/>
      <c r="C51" s="408">
        <f>'Tariff Rand Values Old'!I51</f>
        <v>143829033.1879797</v>
      </c>
      <c r="D51" s="429">
        <f>'Annexure A'!E85</f>
        <v>4.3977704166746678E-2</v>
      </c>
    </row>
    <row r="52" spans="1:4" hidden="1" x14ac:dyDescent="0.35">
      <c r="A52" s="390" t="s">
        <v>425</v>
      </c>
      <c r="B52" s="416"/>
      <c r="C52" s="408">
        <f>'Tariff Rand Values Old'!I52</f>
        <v>216360605.97116733</v>
      </c>
      <c r="D52" s="429">
        <f>'Annexure A'!E86</f>
        <v>4.396549328608873E-2</v>
      </c>
    </row>
    <row r="53" spans="1:4" hidden="1" x14ac:dyDescent="0.35">
      <c r="A53" s="390" t="s">
        <v>421</v>
      </c>
      <c r="B53" s="416"/>
      <c r="C53" s="408">
        <f>'Tariff Rand Values Old'!I53</f>
        <v>196180265.11111212</v>
      </c>
      <c r="D53" s="429">
        <f>'Annexure A'!E87</f>
        <v>4.4002278801021089E-2</v>
      </c>
    </row>
    <row r="54" spans="1:4" x14ac:dyDescent="0.35">
      <c r="A54" s="400" t="s">
        <v>267</v>
      </c>
      <c r="B54" s="416">
        <v>519</v>
      </c>
      <c r="C54" s="408">
        <f>SUM(C55:C60)</f>
        <v>405999685.34575391</v>
      </c>
      <c r="D54" s="429">
        <f>AVERAGE(D55:D60)</f>
        <v>7.797988133554444E-2</v>
      </c>
    </row>
    <row r="55" spans="1:4" hidden="1" x14ac:dyDescent="0.35">
      <c r="A55" s="390" t="s">
        <v>268</v>
      </c>
      <c r="B55" s="416"/>
      <c r="C55" s="408">
        <f>'Tariff Rand Values Old'!I55</f>
        <v>20619563.065964192</v>
      </c>
      <c r="D55" s="429">
        <f>'Annexure A'!E92</f>
        <v>4.4003498059833612E-2</v>
      </c>
    </row>
    <row r="56" spans="1:4" hidden="1" x14ac:dyDescent="0.35">
      <c r="A56" s="390" t="s">
        <v>268</v>
      </c>
      <c r="B56" s="416"/>
      <c r="C56" s="408">
        <f>'Tariff Rand Values Old'!I56</f>
        <v>44910550.752904698</v>
      </c>
      <c r="D56" s="429">
        <f>'Annexure A'!E93</f>
        <v>0.14598555211558306</v>
      </c>
    </row>
    <row r="57" spans="1:4" hidden="1" x14ac:dyDescent="0.35">
      <c r="A57" s="390" t="s">
        <v>269</v>
      </c>
      <c r="B57" s="416"/>
      <c r="C57" s="408">
        <f>'Tariff Rand Values Old'!I57</f>
        <v>89722168.164113581</v>
      </c>
      <c r="D57" s="429">
        <f>'Annexure A'!E94</f>
        <v>0.14589177343223186</v>
      </c>
    </row>
    <row r="58" spans="1:4" hidden="1" x14ac:dyDescent="0.35">
      <c r="A58" s="390" t="s">
        <v>337</v>
      </c>
      <c r="B58" s="416"/>
      <c r="C58" s="408">
        <f>'Tariff Rand Values Old'!I58</f>
        <v>74185608.244863167</v>
      </c>
      <c r="D58" s="429">
        <f>'Annexure A'!E95</f>
        <v>4.3998155956860352E-2</v>
      </c>
    </row>
    <row r="59" spans="1:4" hidden="1" x14ac:dyDescent="0.35">
      <c r="A59" s="390" t="s">
        <v>339</v>
      </c>
      <c r="B59" s="416"/>
      <c r="C59" s="408">
        <f>'Tariff Rand Values Old'!I59</f>
        <v>96532231.487045854</v>
      </c>
      <c r="D59" s="429">
        <f>'Annexure A'!E96</f>
        <v>4.4033387659266066E-2</v>
      </c>
    </row>
    <row r="60" spans="1:4" hidden="1" x14ac:dyDescent="0.35">
      <c r="A60" s="390" t="s">
        <v>335</v>
      </c>
      <c r="B60" s="416"/>
      <c r="C60" s="408">
        <f>'Tariff Rand Values Old'!I60</f>
        <v>80029563.630862474</v>
      </c>
      <c r="D60" s="429">
        <f>'Annexure A'!E97</f>
        <v>4.3966920789491659E-2</v>
      </c>
    </row>
    <row r="61" spans="1:4" x14ac:dyDescent="0.35">
      <c r="A61" s="400" t="s">
        <v>270</v>
      </c>
      <c r="B61" s="416">
        <v>33</v>
      </c>
      <c r="C61" s="408">
        <f>SUM(C62:C66)</f>
        <v>67244816.395046115</v>
      </c>
      <c r="D61" s="429">
        <f>AVERAGE(D62:D66)</f>
        <v>0.14594193978602923</v>
      </c>
    </row>
    <row r="62" spans="1:4" hidden="1" x14ac:dyDescent="0.35">
      <c r="A62" s="402" t="s">
        <v>520</v>
      </c>
      <c r="B62" s="413"/>
      <c r="C62" s="408">
        <f>'Tariff Rand Values Old'!I62</f>
        <v>1602400.7641036918</v>
      </c>
      <c r="D62" s="553">
        <f>'Annexure A'!E103</f>
        <v>0.14590061942732824</v>
      </c>
    </row>
    <row r="63" spans="1:4" hidden="1" x14ac:dyDescent="0.35">
      <c r="A63" s="402" t="s">
        <v>518</v>
      </c>
      <c r="B63" s="413"/>
      <c r="C63" s="408">
        <f>'Tariff Rand Values Old'!I63</f>
        <v>2417249.9379754798</v>
      </c>
      <c r="D63" s="553">
        <f>'Annexure A'!E104</f>
        <v>0.14613676387519803</v>
      </c>
    </row>
    <row r="64" spans="1:4" hidden="1" x14ac:dyDescent="0.35">
      <c r="A64" s="402" t="s">
        <v>498</v>
      </c>
      <c r="B64" s="413"/>
      <c r="C64" s="408">
        <f>'Tariff Rand Values Old'!I64</f>
        <v>16496668.819807965</v>
      </c>
      <c r="D64" s="553">
        <f>'Annexure A'!E105</f>
        <v>0.14590573014636915</v>
      </c>
    </row>
    <row r="65" spans="1:4" hidden="1" x14ac:dyDescent="0.35">
      <c r="A65" s="402" t="s">
        <v>496</v>
      </c>
      <c r="B65" s="413"/>
      <c r="C65" s="408">
        <f>'Tariff Rand Values Old'!I65</f>
        <v>24063936.519851197</v>
      </c>
      <c r="D65" s="553">
        <f>'Annexure A'!E106</f>
        <v>0.14589243216977427</v>
      </c>
    </row>
    <row r="66" spans="1:4" hidden="1" x14ac:dyDescent="0.35">
      <c r="A66" s="402" t="s">
        <v>492</v>
      </c>
      <c r="B66" s="413"/>
      <c r="C66" s="408">
        <f>'Tariff Rand Values Old'!I66</f>
        <v>22664560.353307776</v>
      </c>
      <c r="D66" s="553">
        <f>'Annexure A'!E107</f>
        <v>0.14587415331147646</v>
      </c>
    </row>
    <row r="67" spans="1:4" x14ac:dyDescent="0.35">
      <c r="A67" s="400" t="s">
        <v>271</v>
      </c>
      <c r="B67" s="413">
        <v>205</v>
      </c>
      <c r="C67" s="408">
        <f>SUM(C68:C72)</f>
        <v>90353461.261044443</v>
      </c>
      <c r="D67" s="553">
        <f>AVERAGE(D68:D72)</f>
        <v>0.14583477424484276</v>
      </c>
    </row>
    <row r="68" spans="1:4" hidden="1" x14ac:dyDescent="0.35">
      <c r="A68" s="402" t="s">
        <v>342</v>
      </c>
      <c r="B68" s="413"/>
      <c r="C68" s="408">
        <f>'Tariff Rand Values Old'!I68</f>
        <v>8456226.5274644401</v>
      </c>
      <c r="D68" s="553">
        <f>'Annexure A'!E112</f>
        <v>0.14590044361778753</v>
      </c>
    </row>
    <row r="69" spans="1:4" hidden="1" x14ac:dyDescent="0.35">
      <c r="A69" s="402" t="s">
        <v>272</v>
      </c>
      <c r="B69" s="413"/>
      <c r="C69" s="408">
        <f>'Tariff Rand Values Old'!I69</f>
        <v>2497164.0827000001</v>
      </c>
      <c r="D69" s="553">
        <f>'Annexure A'!E113</f>
        <v>0.14562270404392774</v>
      </c>
    </row>
    <row r="70" spans="1:4" hidden="1" x14ac:dyDescent="0.35">
      <c r="A70" s="402" t="s">
        <v>349</v>
      </c>
      <c r="B70" s="413"/>
      <c r="C70" s="408">
        <f>'Tariff Rand Values Old'!I70</f>
        <v>19219180.568924002</v>
      </c>
      <c r="D70" s="553">
        <f>'Annexure A'!E114</f>
        <v>0.14586000444198616</v>
      </c>
    </row>
    <row r="71" spans="1:4" hidden="1" x14ac:dyDescent="0.35">
      <c r="A71" s="402" t="s">
        <v>353</v>
      </c>
      <c r="B71" s="413"/>
      <c r="C71" s="408">
        <f>'Tariff Rand Values Old'!I71</f>
        <v>33845814.597839996</v>
      </c>
      <c r="D71" s="553">
        <f>'Annexure A'!E115</f>
        <v>0.14589363689867441</v>
      </c>
    </row>
    <row r="72" spans="1:4" hidden="1" x14ac:dyDescent="0.35">
      <c r="A72" s="402" t="s">
        <v>351</v>
      </c>
      <c r="B72" s="413"/>
      <c r="C72" s="408">
        <f>'Tariff Rand Values Old'!I72</f>
        <v>26335075.484115995</v>
      </c>
      <c r="D72" s="553">
        <f>'Annexure A'!E116</f>
        <v>0.14589708222183806</v>
      </c>
    </row>
    <row r="73" spans="1:4" x14ac:dyDescent="0.35">
      <c r="A73" s="400" t="s">
        <v>547</v>
      </c>
      <c r="B73" s="413">
        <v>7</v>
      </c>
      <c r="C73" s="408">
        <f>SUM(C74:C76)</f>
        <v>6688093.0212754561</v>
      </c>
      <c r="D73" s="553">
        <f>AVERAGE(D74:D76)</f>
        <v>0.14590989594028428</v>
      </c>
    </row>
    <row r="74" spans="1:4" hidden="1" x14ac:dyDescent="0.35">
      <c r="A74" s="402" t="s">
        <v>489</v>
      </c>
      <c r="B74" s="413"/>
      <c r="C74" s="408">
        <f>'Tariff Rand Values Old'!I74</f>
        <v>1601382.7021851679</v>
      </c>
      <c r="D74" s="553">
        <f>'Annexure A'!E121</f>
        <v>0.14590797903592401</v>
      </c>
    </row>
    <row r="75" spans="1:4" hidden="1" x14ac:dyDescent="0.35">
      <c r="A75" s="402" t="s">
        <v>487</v>
      </c>
      <c r="B75" s="413"/>
      <c r="C75" s="408">
        <f>'Tariff Rand Values Old'!I75</f>
        <v>2431977.1525280001</v>
      </c>
      <c r="D75" s="553">
        <f>'Annexure A'!E122</f>
        <v>0.14589356245405266</v>
      </c>
    </row>
    <row r="76" spans="1:4" hidden="1" x14ac:dyDescent="0.35">
      <c r="A76" s="402" t="s">
        <v>480</v>
      </c>
      <c r="B76" s="413"/>
      <c r="C76" s="408">
        <f>'Tariff Rand Values Old'!I76</f>
        <v>2654733.1665622881</v>
      </c>
      <c r="D76" s="553">
        <f>'Annexure A'!E123</f>
        <v>0.14592814633087614</v>
      </c>
    </row>
    <row r="77" spans="1:4" x14ac:dyDescent="0.35">
      <c r="A77" s="400" t="s">
        <v>1485</v>
      </c>
      <c r="B77" s="550">
        <v>6</v>
      </c>
      <c r="C77" s="408">
        <f>SUM(C78:C80)</f>
        <v>1366175.668170592</v>
      </c>
      <c r="D77" s="553">
        <f>AVERAGE(D78:D80)</f>
        <v>0.14592127038279509</v>
      </c>
    </row>
    <row r="78" spans="1:4" hidden="1" x14ac:dyDescent="0.35">
      <c r="A78" s="402" t="s">
        <v>507</v>
      </c>
      <c r="B78" s="413"/>
      <c r="C78" s="408">
        <f>'Tariff Rand Values Old'!I78</f>
        <v>374734.78966588003</v>
      </c>
      <c r="D78" s="553">
        <f>'Annexure A'!E128</f>
        <v>0.14591507625003464</v>
      </c>
    </row>
    <row r="79" spans="1:4" hidden="1" x14ac:dyDescent="0.35">
      <c r="A79" s="402" t="s">
        <v>505</v>
      </c>
      <c r="B79" s="413"/>
      <c r="C79" s="408">
        <f>'Tariff Rand Values Old'!I79</f>
        <v>541260.56661287998</v>
      </c>
      <c r="D79" s="553">
        <f>'Annexure A'!E129</f>
        <v>0.14592130336839398</v>
      </c>
    </row>
    <row r="80" spans="1:4" hidden="1" x14ac:dyDescent="0.35">
      <c r="A80" s="402" t="s">
        <v>509</v>
      </c>
      <c r="B80" s="413"/>
      <c r="C80" s="408">
        <f>'Tariff Rand Values Old'!I80</f>
        <v>450180.31189183198</v>
      </c>
      <c r="D80" s="553">
        <f>'Annexure A'!E130</f>
        <v>0.14592743152995663</v>
      </c>
    </row>
    <row r="81" spans="1:4" x14ac:dyDescent="0.35">
      <c r="A81" s="390" t="s">
        <v>1486</v>
      </c>
      <c r="B81" s="416">
        <v>22</v>
      </c>
      <c r="C81" s="408">
        <f>C82</f>
        <v>554299.94460223999</v>
      </c>
      <c r="D81" s="429">
        <f>AVERAGE(D82)</f>
        <v>0.14588707444685456</v>
      </c>
    </row>
    <row r="82" spans="1:4" hidden="1" x14ac:dyDescent="0.35">
      <c r="A82" s="402" t="s">
        <v>1480</v>
      </c>
      <c r="B82" s="416"/>
      <c r="C82" s="408">
        <f>'Tariff Rand Values Old'!I82</f>
        <v>554299.94460223999</v>
      </c>
      <c r="D82" s="429">
        <f>'Annexure A'!E135</f>
        <v>0.14588707444685456</v>
      </c>
    </row>
    <row r="83" spans="1:4" x14ac:dyDescent="0.35">
      <c r="A83" s="582" t="s">
        <v>1436</v>
      </c>
      <c r="B83" s="583">
        <f>B4+B8+B11+B14+B25+B27+B29+B30+B40+B47+B54+B61+B67+B73+B77+B81</f>
        <v>162222.25</v>
      </c>
      <c r="C83" s="583">
        <f>C81+C77+C73+C67+C61+C54+C47+C40+C29+C27+C25+C14+C11+C8+C4</f>
        <v>3499892087.8602071</v>
      </c>
      <c r="D83" s="584">
        <f>AVERAGE(D4,D8,D11,D14,D25,D27,D29,D40,D47,D54,D61,D67,D73,D77,D81)</f>
        <v>0.1295868388513268</v>
      </c>
    </row>
    <row r="84" spans="1:4" hidden="1" x14ac:dyDescent="0.35">
      <c r="A84" s="498" t="s">
        <v>1442</v>
      </c>
      <c r="B84" s="500"/>
      <c r="C84" s="501">
        <v>-988007.78652477299</v>
      </c>
      <c r="D84" s="505"/>
    </row>
    <row r="85" spans="1:4" hidden="1" x14ac:dyDescent="0.35">
      <c r="A85" s="506"/>
      <c r="B85" s="507"/>
      <c r="C85" s="508"/>
      <c r="D85" s="510"/>
    </row>
    <row r="86" spans="1:4" hidden="1" x14ac:dyDescent="0.35">
      <c r="A86" s="511" t="s">
        <v>1443</v>
      </c>
      <c r="B86" s="514">
        <v>126667</v>
      </c>
      <c r="C86" s="519">
        <v>2471171468.212359</v>
      </c>
      <c r="D86" s="518"/>
    </row>
    <row r="87" spans="1:4" hidden="1" x14ac:dyDescent="0.35">
      <c r="A87" s="498"/>
      <c r="B87" s="568"/>
      <c r="C87" s="569"/>
      <c r="D87" s="505"/>
    </row>
    <row r="88" spans="1:4" ht="15" hidden="1" thickBot="1" x14ac:dyDescent="0.4">
      <c r="A88" s="506"/>
      <c r="B88" s="570" t="s">
        <v>1476</v>
      </c>
      <c r="C88" s="566">
        <f>'Tariff Structure to complete'!S4</f>
        <v>2684816551.397512</v>
      </c>
      <c r="D88" s="510"/>
    </row>
    <row r="89" spans="1:4" hidden="1" x14ac:dyDescent="0.35">
      <c r="A89" s="506"/>
      <c r="B89" s="570"/>
      <c r="C89" s="571"/>
      <c r="D89" s="510"/>
    </row>
    <row r="90" spans="1:4" hidden="1" x14ac:dyDescent="0.35">
      <c r="A90" s="506"/>
      <c r="B90" s="570"/>
      <c r="C90" s="571"/>
      <c r="D90" s="510"/>
    </row>
    <row r="91" spans="1:4" ht="60.75" hidden="1" customHeight="1" x14ac:dyDescent="0.35">
      <c r="A91" s="554" t="s">
        <v>1409</v>
      </c>
      <c r="B91" s="561" t="s">
        <v>1415</v>
      </c>
      <c r="C91" s="562"/>
      <c r="D91" s="555" t="s">
        <v>1444</v>
      </c>
    </row>
    <row r="92" spans="1:4" hidden="1" x14ac:dyDescent="0.35">
      <c r="A92" s="556" t="s">
        <v>1391</v>
      </c>
      <c r="B92" s="487">
        <v>-1600698536.5620301</v>
      </c>
      <c r="C92" s="563"/>
      <c r="D92" s="557">
        <v>-1722991904.7553692</v>
      </c>
    </row>
    <row r="93" spans="1:4" hidden="1" x14ac:dyDescent="0.35">
      <c r="A93" s="556" t="s">
        <v>1392</v>
      </c>
      <c r="B93" s="487">
        <v>-627466037.95200002</v>
      </c>
      <c r="C93" s="563"/>
      <c r="D93" s="557">
        <v>-675404443.25153279</v>
      </c>
    </row>
    <row r="94" spans="1:4" hidden="1" x14ac:dyDescent="0.35">
      <c r="A94" s="556" t="s">
        <v>1393</v>
      </c>
      <c r="B94" s="487">
        <v>-47554831</v>
      </c>
      <c r="C94" s="563"/>
      <c r="D94" s="557">
        <v>-51188020.088399999</v>
      </c>
    </row>
    <row r="95" spans="1:4" hidden="1" x14ac:dyDescent="0.35">
      <c r="A95" s="556" t="s">
        <v>1394</v>
      </c>
      <c r="B95" s="487">
        <v>-8000000</v>
      </c>
      <c r="C95" s="563"/>
      <c r="D95" s="557">
        <v>-8611200</v>
      </c>
    </row>
    <row r="96" spans="1:4" hidden="1" x14ac:dyDescent="0.35">
      <c r="A96" s="556" t="s">
        <v>1395</v>
      </c>
      <c r="B96" s="487">
        <v>0</v>
      </c>
      <c r="C96" s="563"/>
      <c r="D96" s="558"/>
    </row>
    <row r="97" spans="1:4" hidden="1" x14ac:dyDescent="0.35">
      <c r="A97" s="556" t="s">
        <v>1400</v>
      </c>
      <c r="B97" s="487"/>
      <c r="C97" s="563"/>
      <c r="D97" s="558"/>
    </row>
    <row r="98" spans="1:4" ht="15" hidden="1" thickBot="1" x14ac:dyDescent="0.4">
      <c r="A98" s="572"/>
      <c r="B98" s="564">
        <v>-2283719405.51403</v>
      </c>
      <c r="C98" s="565"/>
      <c r="D98" s="573">
        <v>-2458195568.0953016</v>
      </c>
    </row>
    <row r="99" spans="1:4" hidden="1" x14ac:dyDescent="0.35">
      <c r="A99" s="506"/>
      <c r="B99" s="570"/>
      <c r="C99" s="571"/>
      <c r="D99" s="510"/>
    </row>
    <row r="100" spans="1:4" hidden="1" x14ac:dyDescent="0.35">
      <c r="A100" s="506"/>
      <c r="B100" s="496" t="e">
        <f>#REF!</f>
        <v>#REF!</v>
      </c>
      <c r="C100" s="571"/>
      <c r="D100" s="574">
        <f>C83+D98</f>
        <v>1041696519.7649055</v>
      </c>
    </row>
    <row r="101" spans="1:4" hidden="1" x14ac:dyDescent="0.35">
      <c r="A101" s="506"/>
      <c r="B101" s="570"/>
      <c r="C101" s="571"/>
      <c r="D101" s="510"/>
    </row>
    <row r="102" spans="1:4" hidden="1" x14ac:dyDescent="0.35">
      <c r="A102" s="506" t="s">
        <v>1462</v>
      </c>
      <c r="B102" s="496" t="e">
        <f>B98-B100</f>
        <v>#REF!</v>
      </c>
      <c r="C102" s="571"/>
      <c r="D102" s="510"/>
    </row>
    <row r="103" spans="1:4" hidden="1" x14ac:dyDescent="0.35">
      <c r="A103" s="506"/>
      <c r="B103" s="570"/>
      <c r="C103" s="571"/>
      <c r="D103" s="510"/>
    </row>
    <row r="104" spans="1:4" hidden="1" x14ac:dyDescent="0.35">
      <c r="A104" s="506"/>
      <c r="B104" s="570"/>
      <c r="C104" s="571"/>
      <c r="D104" s="510"/>
    </row>
    <row r="105" spans="1:4" hidden="1" x14ac:dyDescent="0.35">
      <c r="A105" s="506"/>
      <c r="B105" s="570"/>
      <c r="C105" s="571"/>
      <c r="D105" s="510"/>
    </row>
    <row r="106" spans="1:4" hidden="1" x14ac:dyDescent="0.35">
      <c r="A106" s="506"/>
      <c r="B106" s="570"/>
      <c r="C106" s="571"/>
      <c r="D106" s="510"/>
    </row>
    <row r="107" spans="1:4" hidden="1" x14ac:dyDescent="0.35">
      <c r="A107" s="506"/>
      <c r="B107" s="570"/>
      <c r="C107" s="571"/>
      <c r="D107" s="510"/>
    </row>
    <row r="108" spans="1:4" hidden="1" x14ac:dyDescent="0.35">
      <c r="A108" s="506"/>
      <c r="B108" s="570"/>
      <c r="C108" s="575"/>
      <c r="D108" s="510"/>
    </row>
    <row r="109" spans="1:4" s="247" customFormat="1" hidden="1" x14ac:dyDescent="0.35">
      <c r="A109" s="576"/>
      <c r="B109" s="570"/>
      <c r="C109" s="577"/>
      <c r="D109" s="578"/>
    </row>
    <row r="110" spans="1:4" hidden="1" x14ac:dyDescent="0.35">
      <c r="A110" s="506"/>
      <c r="B110" s="570"/>
      <c r="C110" s="577"/>
      <c r="D110" s="510"/>
    </row>
    <row r="111" spans="1:4" hidden="1" x14ac:dyDescent="0.35">
      <c r="A111" s="506"/>
      <c r="B111" s="570"/>
      <c r="C111" s="577"/>
      <c r="D111" s="510"/>
    </row>
    <row r="112" spans="1:4" hidden="1" x14ac:dyDescent="0.35">
      <c r="A112" s="506"/>
      <c r="B112" s="570"/>
      <c r="C112" s="577"/>
      <c r="D112" s="510"/>
    </row>
    <row r="113" spans="1:1" hidden="1" x14ac:dyDescent="0.35">
      <c r="A113" s="506"/>
    </row>
  </sheetData>
  <pageMargins left="0.7" right="0.7" top="0.75" bottom="0.75" header="0.3" footer="0.3"/>
  <pageSetup paperSize="9" scale="80" orientation="landscape" horizontalDpi="4294967292" verticalDpi="4294967292"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Y155"/>
  <sheetViews>
    <sheetView topLeftCell="O1" zoomScale="85" zoomScaleNormal="85" zoomScalePageLayoutView="85" workbookViewId="0">
      <pane ySplit="3" topLeftCell="A178" activePane="bottomLeft" state="frozen"/>
      <selection activeCell="M1" sqref="M1"/>
      <selection pane="bottomLeft" activeCell="R32" sqref="R32"/>
    </sheetView>
  </sheetViews>
  <sheetFormatPr defaultColWidth="8.6328125" defaultRowHeight="14.5" outlineLevelRow="3" x14ac:dyDescent="0.35"/>
  <cols>
    <col min="1" max="1" width="9.36328125" hidden="1" customWidth="1"/>
    <col min="2" max="2" width="6.6328125" hidden="1" customWidth="1"/>
    <col min="3" max="4" width="8.453125" hidden="1" customWidth="1"/>
    <col min="5" max="5" width="7" hidden="1" customWidth="1"/>
    <col min="6" max="6" width="8" hidden="1" customWidth="1"/>
    <col min="7" max="7" width="9.36328125" hidden="1" customWidth="1"/>
    <col min="8" max="8" width="7.36328125" hidden="1" customWidth="1"/>
    <col min="9" max="9" width="8.54296875" hidden="1" customWidth="1"/>
    <col min="10" max="10" width="7.6328125" hidden="1" customWidth="1"/>
    <col min="11" max="11" width="7" hidden="1" customWidth="1"/>
    <col min="12" max="12" width="4.54296875" hidden="1" customWidth="1"/>
    <col min="13" max="13" width="10" hidden="1" customWidth="1"/>
    <col min="14" max="14" width="7.54296875" hidden="1" customWidth="1"/>
    <col min="15" max="15" width="60.36328125" customWidth="1"/>
    <col min="16" max="17" width="22.6328125" hidden="1" customWidth="1"/>
    <col min="18" max="19" width="22.6328125" bestFit="1" customWidth="1"/>
    <col min="20" max="20" width="22.6328125" hidden="1" customWidth="1"/>
    <col min="21" max="21" width="18.36328125" style="275" bestFit="1" customWidth="1"/>
    <col min="22" max="22" width="20.36328125" bestFit="1" customWidth="1"/>
    <col min="23" max="23" width="20.36328125" hidden="1" customWidth="1"/>
    <col min="24" max="24" width="145.6328125" hidden="1" customWidth="1"/>
    <col min="25" max="25" width="77.453125" hidden="1" customWidth="1"/>
    <col min="26" max="26" width="13.6328125" customWidth="1"/>
  </cols>
  <sheetData>
    <row r="1" spans="1:25" ht="21" x14ac:dyDescent="0.5">
      <c r="A1" s="51" t="s">
        <v>248</v>
      </c>
    </row>
    <row r="2" spans="1:25" ht="33" customHeight="1" thickBot="1" x14ac:dyDescent="0.4">
      <c r="P2" s="549"/>
      <c r="Q2" s="549"/>
      <c r="R2" s="549"/>
      <c r="S2" s="549" t="s">
        <v>1489</v>
      </c>
      <c r="T2" s="549"/>
      <c r="U2" s="619">
        <v>6.2399999999999997E-2</v>
      </c>
      <c r="V2" s="357">
        <v>6.2399999999999997E-2</v>
      </c>
      <c r="W2" s="357">
        <v>0.06</v>
      </c>
    </row>
    <row r="3" spans="1:25" s="40" customFormat="1" ht="59.25" customHeight="1" thickBot="1" x14ac:dyDescent="0.5">
      <c r="A3" s="1149" t="s">
        <v>247</v>
      </c>
      <c r="B3" s="1150"/>
      <c r="C3" s="1150"/>
      <c r="D3" s="1150"/>
      <c r="E3" s="1150"/>
      <c r="F3" s="1150"/>
      <c r="G3" s="1150"/>
      <c r="H3" s="1150"/>
      <c r="I3" s="1150"/>
      <c r="J3" s="1150"/>
      <c r="K3" s="1150"/>
      <c r="L3" s="1151"/>
      <c r="M3" s="194" t="s">
        <v>476</v>
      </c>
      <c r="N3" s="195"/>
      <c r="O3" s="195" t="s">
        <v>477</v>
      </c>
      <c r="P3" s="559" t="s">
        <v>1631</v>
      </c>
      <c r="Q3" s="559" t="s">
        <v>1634</v>
      </c>
      <c r="R3" s="559" t="s">
        <v>1632</v>
      </c>
      <c r="S3" s="559" t="s">
        <v>1475</v>
      </c>
      <c r="T3" s="559"/>
      <c r="U3" s="559" t="s">
        <v>1523</v>
      </c>
      <c r="V3" s="344" t="s">
        <v>1519</v>
      </c>
      <c r="W3" s="344" t="s">
        <v>1524</v>
      </c>
      <c r="X3" s="196" t="s">
        <v>246</v>
      </c>
      <c r="Y3" s="193" t="s">
        <v>245</v>
      </c>
    </row>
    <row r="4" spans="1:25" s="39" customFormat="1" ht="16.5" customHeight="1" x14ac:dyDescent="0.35">
      <c r="A4" s="169">
        <v>0</v>
      </c>
      <c r="B4" s="170">
        <v>0</v>
      </c>
      <c r="C4" s="171">
        <v>1</v>
      </c>
      <c r="D4" s="170">
        <v>0</v>
      </c>
      <c r="E4" s="172">
        <v>0</v>
      </c>
      <c r="F4" s="171">
        <v>0</v>
      </c>
      <c r="G4" s="172">
        <v>0</v>
      </c>
      <c r="H4" s="170">
        <v>0</v>
      </c>
      <c r="I4" s="170">
        <v>0</v>
      </c>
      <c r="J4" s="170">
        <v>0</v>
      </c>
      <c r="K4" s="170" t="s">
        <v>232</v>
      </c>
      <c r="L4" s="173" t="s">
        <v>242</v>
      </c>
      <c r="M4" s="182"/>
      <c r="N4" s="37"/>
      <c r="O4" s="546"/>
      <c r="P4" s="650">
        <f>+P5</f>
        <v>2393011835.25</v>
      </c>
      <c r="Q4" s="650"/>
      <c r="R4" s="650">
        <v>2593011835.2199998</v>
      </c>
      <c r="S4" s="650">
        <v>2684816551.397512</v>
      </c>
      <c r="T4" s="663"/>
      <c r="U4" s="651">
        <v>2902286692.060708</v>
      </c>
      <c r="V4" s="651">
        <v>3055926813.7590947</v>
      </c>
      <c r="W4" s="651">
        <f t="shared" ref="W4" si="0">W5</f>
        <v>-3193842769.4294991</v>
      </c>
      <c r="X4" s="333" t="s">
        <v>244</v>
      </c>
      <c r="Y4" s="185" t="str">
        <f>X4</f>
        <v>INCOME</v>
      </c>
    </row>
    <row r="5" spans="1:25" s="39" customFormat="1" ht="16.5" customHeight="1" outlineLevel="1" x14ac:dyDescent="0.35">
      <c r="A5" s="174">
        <v>0</v>
      </c>
      <c r="B5" s="34">
        <v>0</v>
      </c>
      <c r="C5" s="36">
        <v>1</v>
      </c>
      <c r="D5" s="34">
        <v>30</v>
      </c>
      <c r="E5" s="35">
        <v>0</v>
      </c>
      <c r="F5" s="36">
        <v>0</v>
      </c>
      <c r="G5" s="35">
        <v>0</v>
      </c>
      <c r="H5" s="34">
        <v>0</v>
      </c>
      <c r="I5" s="34">
        <v>0</v>
      </c>
      <c r="J5" s="34">
        <v>0</v>
      </c>
      <c r="K5" s="33" t="s">
        <v>232</v>
      </c>
      <c r="L5" s="175" t="s">
        <v>242</v>
      </c>
      <c r="M5" s="183"/>
      <c r="N5" s="37"/>
      <c r="O5" s="331"/>
      <c r="P5" s="650">
        <f>+P6+P10</f>
        <v>2393011835.25</v>
      </c>
      <c r="Q5" s="650"/>
      <c r="R5" s="650">
        <v>2593011835.2199998</v>
      </c>
      <c r="S5" s="650">
        <v>2684816551.397512</v>
      </c>
      <c r="T5" s="650"/>
      <c r="U5" s="650">
        <v>2902286692.060708</v>
      </c>
      <c r="V5" s="652">
        <v>3055926813.7590947</v>
      </c>
      <c r="W5" s="652">
        <f t="shared" ref="W5" si="1">W6+W10</f>
        <v>-3193842769.4294991</v>
      </c>
      <c r="X5" s="333" t="s">
        <v>243</v>
      </c>
      <c r="Y5" s="185" t="s">
        <v>243</v>
      </c>
    </row>
    <row r="6" spans="1:25" s="39" customFormat="1" ht="16.5" customHeight="1" outlineLevel="1" x14ac:dyDescent="0.35">
      <c r="A6" s="174">
        <v>0</v>
      </c>
      <c r="B6" s="34">
        <v>0</v>
      </c>
      <c r="C6" s="36">
        <v>1</v>
      </c>
      <c r="D6" s="34" t="s">
        <v>1494</v>
      </c>
      <c r="E6" s="35">
        <v>111</v>
      </c>
      <c r="F6" s="36">
        <v>3</v>
      </c>
      <c r="G6" s="35">
        <v>0</v>
      </c>
      <c r="H6" s="34" t="s">
        <v>1498</v>
      </c>
      <c r="I6" s="34" t="s">
        <v>1497</v>
      </c>
      <c r="J6" s="34" t="s">
        <v>136</v>
      </c>
      <c r="K6" s="33" t="s">
        <v>232</v>
      </c>
      <c r="L6" s="175" t="s">
        <v>242</v>
      </c>
      <c r="M6" s="183"/>
      <c r="N6" s="37"/>
      <c r="O6" s="33"/>
      <c r="P6" s="650">
        <f>+P7</f>
        <v>11391512.25</v>
      </c>
      <c r="Q6" s="650"/>
      <c r="R6" s="650">
        <v>11391512.25</v>
      </c>
      <c r="S6" s="650">
        <v>18924063.931318797</v>
      </c>
      <c r="T6" s="650"/>
      <c r="U6" s="652">
        <v>20456913.10975562</v>
      </c>
      <c r="V6" s="652">
        <v>21524763.974084865</v>
      </c>
      <c r="W6" s="652">
        <f>+V6*W2+V6</f>
        <v>22816249.812529959</v>
      </c>
      <c r="X6" s="333" t="s">
        <v>1334</v>
      </c>
      <c r="Y6" s="185"/>
    </row>
    <row r="7" spans="1:25" s="39" customFormat="1" ht="16.5" customHeight="1" outlineLevel="2" x14ac:dyDescent="0.35">
      <c r="A7" s="174"/>
      <c r="B7" s="34"/>
      <c r="C7" s="36"/>
      <c r="D7" s="34"/>
      <c r="E7" s="35"/>
      <c r="F7" s="36">
        <v>0</v>
      </c>
      <c r="G7" s="35">
        <v>0</v>
      </c>
      <c r="H7" s="34">
        <v>0</v>
      </c>
      <c r="I7" s="34">
        <v>0</v>
      </c>
      <c r="J7" s="34">
        <v>0</v>
      </c>
      <c r="K7" s="33" t="s">
        <v>232</v>
      </c>
      <c r="L7" s="175" t="s">
        <v>242</v>
      </c>
      <c r="M7" s="183"/>
      <c r="N7" s="37"/>
      <c r="O7" s="33"/>
      <c r="P7" s="650">
        <f>+P8</f>
        <v>11391512.25</v>
      </c>
      <c r="Q7" s="650"/>
      <c r="R7" s="650">
        <v>11391512.25</v>
      </c>
      <c r="S7" s="650">
        <v>18924063.931318797</v>
      </c>
      <c r="T7" s="650"/>
      <c r="U7" s="652">
        <v>20456913.10975562</v>
      </c>
      <c r="V7" s="652">
        <v>21524763.974084865</v>
      </c>
      <c r="W7" s="652">
        <f>+V7*W2+V7</f>
        <v>22816249.812529959</v>
      </c>
      <c r="X7" s="333" t="s">
        <v>1294</v>
      </c>
      <c r="Y7" s="185"/>
    </row>
    <row r="8" spans="1:25" s="39" customFormat="1" ht="16.5" customHeight="1" outlineLevel="2" x14ac:dyDescent="0.35">
      <c r="A8" s="174"/>
      <c r="B8" s="34"/>
      <c r="C8" s="36"/>
      <c r="D8" s="34"/>
      <c r="E8" s="35"/>
      <c r="F8" s="36">
        <v>0</v>
      </c>
      <c r="G8" s="35">
        <v>0</v>
      </c>
      <c r="H8" s="34">
        <v>0</v>
      </c>
      <c r="I8" s="34">
        <v>0</v>
      </c>
      <c r="J8" s="34">
        <v>0</v>
      </c>
      <c r="K8" s="33" t="s">
        <v>234</v>
      </c>
      <c r="L8" s="632"/>
      <c r="M8" s="629"/>
      <c r="N8" s="630"/>
      <c r="O8" s="631"/>
      <c r="P8" s="653">
        <v>11391512.25</v>
      </c>
      <c r="Q8" s="653"/>
      <c r="R8" s="653">
        <v>11391512.25</v>
      </c>
      <c r="S8" s="653">
        <v>18924063.931318797</v>
      </c>
      <c r="T8" s="653"/>
      <c r="U8" s="653">
        <v>20456913.10975562</v>
      </c>
      <c r="V8" s="653">
        <v>21524763.974084865</v>
      </c>
      <c r="W8" s="653">
        <f>+V8*W2+V8</f>
        <v>22816249.812529959</v>
      </c>
      <c r="X8" s="334" t="s">
        <v>1335</v>
      </c>
      <c r="Y8" s="185"/>
    </row>
    <row r="9" spans="1:25" s="39" customFormat="1" ht="16.5" customHeight="1" outlineLevel="1" x14ac:dyDescent="0.35">
      <c r="A9" s="174"/>
      <c r="B9" s="34"/>
      <c r="C9" s="36"/>
      <c r="D9" s="34"/>
      <c r="E9" s="35"/>
      <c r="F9" s="36"/>
      <c r="G9" s="35"/>
      <c r="H9" s="34"/>
      <c r="I9" s="34"/>
      <c r="J9" s="34"/>
      <c r="K9" s="33"/>
      <c r="L9" s="175"/>
      <c r="M9" s="183"/>
      <c r="N9" s="310"/>
      <c r="O9" s="331"/>
      <c r="P9" s="653"/>
      <c r="Q9" s="653"/>
      <c r="R9" s="653"/>
      <c r="S9" s="653"/>
      <c r="T9" s="653"/>
      <c r="U9" s="654"/>
      <c r="V9" s="654"/>
      <c r="W9" s="654"/>
      <c r="X9" s="334"/>
      <c r="Y9" s="185"/>
    </row>
    <row r="10" spans="1:25" ht="16.5" customHeight="1" outlineLevel="2" x14ac:dyDescent="0.35">
      <c r="A10" s="174">
        <v>0</v>
      </c>
      <c r="B10" s="34">
        <v>0</v>
      </c>
      <c r="C10" s="36">
        <v>1</v>
      </c>
      <c r="D10" s="34">
        <v>32</v>
      </c>
      <c r="E10" s="35">
        <v>0</v>
      </c>
      <c r="F10" s="36">
        <v>0</v>
      </c>
      <c r="G10" s="35">
        <v>0</v>
      </c>
      <c r="H10" s="34">
        <v>0</v>
      </c>
      <c r="I10" s="34">
        <v>0</v>
      </c>
      <c r="J10" s="34">
        <v>0</v>
      </c>
      <c r="K10" s="33" t="s">
        <v>232</v>
      </c>
      <c r="L10" s="175" t="s">
        <v>242</v>
      </c>
      <c r="M10" s="183"/>
      <c r="N10" s="310" t="s">
        <v>478</v>
      </c>
      <c r="O10" s="351"/>
      <c r="P10" s="652">
        <f>P126</f>
        <v>2381620323</v>
      </c>
      <c r="Q10" s="652"/>
      <c r="R10" s="652">
        <v>2581620322.9699998</v>
      </c>
      <c r="S10" s="652">
        <v>2665892487.4661932</v>
      </c>
      <c r="T10" s="652"/>
      <c r="U10" s="652">
        <v>2881829778.9509525</v>
      </c>
      <c r="V10" s="652">
        <v>3034402049.7850099</v>
      </c>
      <c r="W10" s="652">
        <f>W126</f>
        <v>-3216659019.2420292</v>
      </c>
      <c r="X10" s="333" t="s">
        <v>241</v>
      </c>
      <c r="Y10" s="192" t="str">
        <f>X10</f>
        <v>SERVICE CHARGES</v>
      </c>
    </row>
    <row r="11" spans="1:25" ht="16.5" customHeight="1" outlineLevel="3" x14ac:dyDescent="0.35">
      <c r="A11" s="174"/>
      <c r="B11" s="34"/>
      <c r="C11" s="36"/>
      <c r="D11" s="34"/>
      <c r="E11" s="38"/>
      <c r="F11" s="36"/>
      <c r="G11" s="35"/>
      <c r="H11" s="34"/>
      <c r="I11" s="34"/>
      <c r="J11" s="34"/>
      <c r="K11" s="33"/>
      <c r="L11" s="175"/>
      <c r="M11" s="313"/>
      <c r="N11" s="310"/>
      <c r="O11" s="310"/>
      <c r="P11" s="653"/>
      <c r="Q11" s="653"/>
      <c r="R11" s="653"/>
      <c r="S11" s="653">
        <v>0</v>
      </c>
      <c r="T11" s="653"/>
      <c r="U11" s="653">
        <v>0</v>
      </c>
      <c r="V11" s="655">
        <v>0</v>
      </c>
      <c r="W11" s="655">
        <f t="shared" ref="W11" si="2">V11*3%+V11</f>
        <v>0</v>
      </c>
      <c r="X11" s="336" t="s">
        <v>240</v>
      </c>
      <c r="Y11" s="186" t="s">
        <v>239</v>
      </c>
    </row>
    <row r="12" spans="1:25" s="39" customFormat="1" ht="16.5" customHeight="1" outlineLevel="3" x14ac:dyDescent="0.35">
      <c r="A12" s="174">
        <v>0</v>
      </c>
      <c r="B12" s="34">
        <v>0</v>
      </c>
      <c r="C12" s="36">
        <v>1</v>
      </c>
      <c r="D12" s="283">
        <v>32</v>
      </c>
      <c r="E12" s="283">
        <v>111</v>
      </c>
      <c r="F12" s="283">
        <v>0</v>
      </c>
      <c r="G12" s="283">
        <v>18</v>
      </c>
      <c r="H12" s="283" t="s">
        <v>1496</v>
      </c>
      <c r="I12" s="283" t="s">
        <v>1497</v>
      </c>
      <c r="J12" s="283">
        <v>11</v>
      </c>
      <c r="K12" s="33" t="s">
        <v>234</v>
      </c>
      <c r="L12" s="173"/>
      <c r="N12" s="314" t="s">
        <v>478</v>
      </c>
      <c r="O12" s="39" t="s">
        <v>1532</v>
      </c>
      <c r="P12" s="653"/>
      <c r="Q12" s="653"/>
      <c r="R12" s="653"/>
      <c r="S12" s="653"/>
      <c r="T12" s="653"/>
      <c r="U12" s="653"/>
      <c r="V12" s="655"/>
      <c r="W12" s="655"/>
      <c r="X12" s="335" t="s">
        <v>29</v>
      </c>
      <c r="Y12" s="241" t="s">
        <v>1905</v>
      </c>
    </row>
    <row r="13" spans="1:25" s="39" customFormat="1" ht="16.5" customHeight="1" outlineLevel="3" x14ac:dyDescent="0.35">
      <c r="A13" s="174">
        <v>0</v>
      </c>
      <c r="B13" s="34">
        <v>0</v>
      </c>
      <c r="C13" s="36">
        <v>1</v>
      </c>
      <c r="D13" s="283" t="s">
        <v>1494</v>
      </c>
      <c r="E13" s="283" t="s">
        <v>1527</v>
      </c>
      <c r="F13" s="283" t="s">
        <v>144</v>
      </c>
      <c r="G13" s="283" t="s">
        <v>1495</v>
      </c>
      <c r="H13" s="283" t="s">
        <v>1496</v>
      </c>
      <c r="I13" s="283" t="s">
        <v>1497</v>
      </c>
      <c r="J13" s="283" t="s">
        <v>136</v>
      </c>
      <c r="K13" s="33" t="s">
        <v>234</v>
      </c>
      <c r="L13" s="173"/>
      <c r="M13" s="248" t="str">
        <f>RIGHT(O13,7)</f>
        <v>INELSM1</v>
      </c>
      <c r="N13" s="314"/>
      <c r="O13" s="248" t="s">
        <v>1526</v>
      </c>
      <c r="P13" s="653">
        <v>0</v>
      </c>
      <c r="Q13" s="653">
        <f>+R13-P13</f>
        <v>48661736.359999999</v>
      </c>
      <c r="R13" s="653">
        <v>48661736.359999999</v>
      </c>
      <c r="S13" s="653">
        <v>-47914619.847629897</v>
      </c>
      <c r="T13" s="653"/>
      <c r="U13" s="653">
        <v>-51795704.055287898</v>
      </c>
      <c r="V13" s="653">
        <v>-55991156.0837662</v>
      </c>
      <c r="W13" s="653">
        <f>V13*(1+$U$2)</f>
        <v>-59485004.223393209</v>
      </c>
      <c r="X13" s="335"/>
      <c r="Y13" s="241"/>
    </row>
    <row r="14" spans="1:25" s="39" customFormat="1" ht="16.5" customHeight="1" outlineLevel="3" x14ac:dyDescent="0.35">
      <c r="A14" s="174">
        <v>0</v>
      </c>
      <c r="B14" s="34">
        <v>0</v>
      </c>
      <c r="C14" s="36">
        <v>1</v>
      </c>
      <c r="D14" s="283" t="s">
        <v>1494</v>
      </c>
      <c r="E14" s="283" t="s">
        <v>1527</v>
      </c>
      <c r="F14" s="283" t="s">
        <v>155</v>
      </c>
      <c r="G14" s="283" t="s">
        <v>1495</v>
      </c>
      <c r="H14" s="283" t="s">
        <v>1496</v>
      </c>
      <c r="I14" s="283" t="s">
        <v>1497</v>
      </c>
      <c r="J14" s="283" t="s">
        <v>136</v>
      </c>
      <c r="K14" s="33" t="s">
        <v>234</v>
      </c>
      <c r="L14" s="173"/>
      <c r="M14" s="248" t="str">
        <f t="shared" ref="M14" si="3">RIGHT(O14,6)</f>
        <v>INEL01</v>
      </c>
      <c r="N14" s="314"/>
      <c r="O14" s="248" t="s">
        <v>1525</v>
      </c>
      <c r="P14" s="653">
        <v>9629331</v>
      </c>
      <c r="Q14" s="653">
        <f>+R14-P14</f>
        <v>9595039</v>
      </c>
      <c r="R14" s="653">
        <v>19224370</v>
      </c>
      <c r="S14" s="653">
        <v>-20847469.422151599</v>
      </c>
      <c r="T14" s="653"/>
      <c r="U14" s="653">
        <v>-22536114.4453458</v>
      </c>
      <c r="V14" s="653">
        <v>-24361539.715418801</v>
      </c>
      <c r="W14" s="653">
        <f>V14*(1+$U$2)</f>
        <v>-25881699.793660935</v>
      </c>
      <c r="X14" s="335"/>
      <c r="Y14" s="241"/>
    </row>
    <row r="15" spans="1:25" s="39" customFormat="1" ht="16.5" customHeight="1" outlineLevel="3" x14ac:dyDescent="0.35">
      <c r="A15" s="174">
        <v>0</v>
      </c>
      <c r="B15" s="34">
        <v>0</v>
      </c>
      <c r="C15" s="36">
        <v>1</v>
      </c>
      <c r="D15" s="283" t="s">
        <v>1494</v>
      </c>
      <c r="E15" s="283" t="s">
        <v>219</v>
      </c>
      <c r="F15" s="283" t="s">
        <v>553</v>
      </c>
      <c r="G15" s="283" t="s">
        <v>1495</v>
      </c>
      <c r="H15" s="283" t="s">
        <v>1496</v>
      </c>
      <c r="I15" s="283" t="s">
        <v>1497</v>
      </c>
      <c r="J15" s="283" t="s">
        <v>136</v>
      </c>
      <c r="K15" s="33" t="s">
        <v>234</v>
      </c>
      <c r="L15" s="173"/>
      <c r="M15" s="248"/>
      <c r="N15" s="314"/>
      <c r="O15" s="260" t="s">
        <v>1533</v>
      </c>
      <c r="P15" s="653"/>
      <c r="Q15" s="653"/>
      <c r="R15" s="653"/>
      <c r="S15" s="653"/>
      <c r="T15" s="653"/>
      <c r="U15" s="653"/>
      <c r="V15" s="653"/>
      <c r="W15" s="653"/>
      <c r="X15" s="335"/>
      <c r="Y15" s="241"/>
    </row>
    <row r="16" spans="1:25" ht="16.5" customHeight="1" outlineLevel="3" x14ac:dyDescent="0.35">
      <c r="A16" s="174">
        <v>0</v>
      </c>
      <c r="B16" s="34">
        <v>0</v>
      </c>
      <c r="C16" s="36">
        <v>1</v>
      </c>
      <c r="D16" s="283" t="s">
        <v>1494</v>
      </c>
      <c r="E16" s="283" t="s">
        <v>219</v>
      </c>
      <c r="F16" s="283" t="s">
        <v>144</v>
      </c>
      <c r="G16" s="283" t="s">
        <v>1495</v>
      </c>
      <c r="H16" s="283" t="s">
        <v>1496</v>
      </c>
      <c r="I16" s="283" t="s">
        <v>1497</v>
      </c>
      <c r="J16" s="283" t="s">
        <v>136</v>
      </c>
      <c r="K16" s="33" t="s">
        <v>234</v>
      </c>
      <c r="L16" s="175"/>
      <c r="M16" s="248" t="str">
        <f>RIGHT(O16,6)</f>
        <v>ELSM01</v>
      </c>
      <c r="N16" s="634" t="s">
        <v>478</v>
      </c>
      <c r="O16" s="248" t="s">
        <v>1620</v>
      </c>
      <c r="P16" s="653">
        <v>63973512</v>
      </c>
      <c r="Q16" s="653">
        <f>+R16-P16</f>
        <v>-20099537</v>
      </c>
      <c r="R16" s="653">
        <v>43873975</v>
      </c>
      <c r="S16" s="653">
        <v>-46385497.296883002</v>
      </c>
      <c r="T16" s="653"/>
      <c r="U16" s="653">
        <v>-50142722.577930503</v>
      </c>
      <c r="V16" s="654">
        <v>-52760172.696498498</v>
      </c>
      <c r="W16" s="654">
        <f>V16*(1+$W$2)</f>
        <v>-55925783.05828841</v>
      </c>
      <c r="X16" s="336" t="str">
        <f>CONCATENATE($X$70,N16,M16)</f>
        <v>Exchange Revenue:  Service Charges - Electricity:  Sales - Commercial Conventional (3-Phase) ELSM01</v>
      </c>
      <c r="Y16" s="186"/>
    </row>
    <row r="17" spans="1:25" ht="16.5" customHeight="1" outlineLevel="3" x14ac:dyDescent="0.35">
      <c r="A17" s="174">
        <v>0</v>
      </c>
      <c r="B17" s="34">
        <v>0</v>
      </c>
      <c r="C17" s="36">
        <v>1</v>
      </c>
      <c r="D17" s="283" t="s">
        <v>1494</v>
      </c>
      <c r="E17" s="283" t="s">
        <v>219</v>
      </c>
      <c r="F17" s="283" t="s">
        <v>155</v>
      </c>
      <c r="G17" s="283" t="s">
        <v>1495</v>
      </c>
      <c r="H17" s="283" t="s">
        <v>1496</v>
      </c>
      <c r="I17" s="283" t="s">
        <v>1497</v>
      </c>
      <c r="J17" s="283" t="s">
        <v>136</v>
      </c>
      <c r="K17" s="33" t="s">
        <v>234</v>
      </c>
      <c r="L17" s="175"/>
      <c r="M17" s="635" t="str">
        <f>RIGHT(O17,6)</f>
        <v>EL0001</v>
      </c>
      <c r="N17" s="634" t="s">
        <v>478</v>
      </c>
      <c r="O17" s="245" t="s">
        <v>1621</v>
      </c>
      <c r="P17" s="653">
        <v>274951567</v>
      </c>
      <c r="Q17" s="653">
        <f>+R17-P17</f>
        <v>-252486861</v>
      </c>
      <c r="R17" s="653">
        <v>22464706</v>
      </c>
      <c r="S17" s="653">
        <v>-27339892.663419001</v>
      </c>
      <c r="T17" s="653"/>
      <c r="U17" s="653">
        <v>-29554423.969156001</v>
      </c>
      <c r="V17" s="654">
        <v>-31097164.900345899</v>
      </c>
      <c r="W17" s="654">
        <f>V17*(1+$W$2)</f>
        <v>-32962994.794366654</v>
      </c>
      <c r="X17" s="338"/>
      <c r="Y17" s="187" t="s">
        <v>235</v>
      </c>
    </row>
    <row r="18" spans="1:25" s="39" customFormat="1" ht="16.5" customHeight="1" outlineLevel="3" x14ac:dyDescent="0.35">
      <c r="A18" s="174">
        <v>0</v>
      </c>
      <c r="B18" s="34">
        <v>0</v>
      </c>
      <c r="C18" s="36">
        <v>1</v>
      </c>
      <c r="D18" s="283" t="s">
        <v>1494</v>
      </c>
      <c r="E18" s="283" t="s">
        <v>220</v>
      </c>
      <c r="F18" s="283" t="s">
        <v>553</v>
      </c>
      <c r="G18" s="283" t="s">
        <v>1495</v>
      </c>
      <c r="H18" s="283" t="s">
        <v>1496</v>
      </c>
      <c r="I18" s="283" t="s">
        <v>1497</v>
      </c>
      <c r="J18" s="283" t="s">
        <v>136</v>
      </c>
      <c r="K18" s="33" t="s">
        <v>234</v>
      </c>
      <c r="L18" s="173"/>
      <c r="M18" s="248"/>
      <c r="N18" s="314"/>
      <c r="O18" s="260" t="s">
        <v>1534</v>
      </c>
      <c r="P18" s="653"/>
      <c r="Q18" s="653"/>
      <c r="R18" s="653"/>
      <c r="S18" s="653"/>
      <c r="T18" s="653"/>
      <c r="U18" s="653"/>
      <c r="V18" s="653"/>
      <c r="W18" s="653"/>
      <c r="X18" s="335"/>
      <c r="Y18" s="241"/>
    </row>
    <row r="19" spans="1:25" ht="16.5" customHeight="1" outlineLevel="3" x14ac:dyDescent="0.35">
      <c r="A19" s="174">
        <v>0</v>
      </c>
      <c r="B19" s="34">
        <v>0</v>
      </c>
      <c r="C19" s="36">
        <v>1</v>
      </c>
      <c r="D19" s="283" t="s">
        <v>1494</v>
      </c>
      <c r="E19" s="283" t="s">
        <v>220</v>
      </c>
      <c r="F19" s="283" t="s">
        <v>144</v>
      </c>
      <c r="G19" s="283" t="s">
        <v>1495</v>
      </c>
      <c r="H19" s="283" t="s">
        <v>1496</v>
      </c>
      <c r="I19" s="283" t="s">
        <v>1497</v>
      </c>
      <c r="J19" s="283" t="s">
        <v>136</v>
      </c>
      <c r="K19" s="33" t="s">
        <v>234</v>
      </c>
      <c r="L19" s="175"/>
      <c r="M19" s="248" t="s">
        <v>1518</v>
      </c>
      <c r="N19" s="634" t="s">
        <v>478</v>
      </c>
      <c r="O19" s="248" t="s">
        <v>1618</v>
      </c>
      <c r="P19" s="653">
        <v>0</v>
      </c>
      <c r="Q19" s="653">
        <f t="shared" ref="Q19:Q84" si="4">+R19-P19</f>
        <v>573417979</v>
      </c>
      <c r="R19" s="653">
        <v>573417979</v>
      </c>
      <c r="S19" s="653">
        <v>-574381959.05239797</v>
      </c>
      <c r="T19" s="653"/>
      <c r="U19" s="653">
        <v>-620906897.73564196</v>
      </c>
      <c r="V19" s="654">
        <v>-653318237.79744303</v>
      </c>
      <c r="W19" s="654">
        <f>V19*(1+$W$2)</f>
        <v>-692517332.06528962</v>
      </c>
      <c r="X19" s="336"/>
      <c r="Y19" s="186"/>
    </row>
    <row r="20" spans="1:25" ht="16.5" customHeight="1" outlineLevel="3" x14ac:dyDescent="0.35">
      <c r="A20" s="174">
        <v>0</v>
      </c>
      <c r="B20" s="34">
        <v>0</v>
      </c>
      <c r="C20" s="36">
        <v>1</v>
      </c>
      <c r="D20" s="283" t="s">
        <v>1494</v>
      </c>
      <c r="E20" s="283" t="s">
        <v>220</v>
      </c>
      <c r="F20" s="283" t="s">
        <v>155</v>
      </c>
      <c r="G20" s="283" t="s">
        <v>1495</v>
      </c>
      <c r="H20" s="283" t="s">
        <v>1496</v>
      </c>
      <c r="I20" s="283" t="s">
        <v>1497</v>
      </c>
      <c r="J20" s="283" t="s">
        <v>136</v>
      </c>
      <c r="K20" s="33" t="s">
        <v>234</v>
      </c>
      <c r="L20" s="175"/>
      <c r="M20" s="248" t="s">
        <v>1518</v>
      </c>
      <c r="N20" s="634" t="s">
        <v>478</v>
      </c>
      <c r="O20" s="248" t="s">
        <v>1619</v>
      </c>
      <c r="P20" s="653">
        <v>763572650</v>
      </c>
      <c r="Q20" s="653">
        <f t="shared" si="4"/>
        <v>-531354498</v>
      </c>
      <c r="R20" s="653">
        <v>232218152</v>
      </c>
      <c r="S20" s="653">
        <v>-235763806.94922999</v>
      </c>
      <c r="T20" s="653"/>
      <c r="U20" s="653">
        <v>-254860675.31211799</v>
      </c>
      <c r="V20" s="654">
        <v>-268164402.56341001</v>
      </c>
      <c r="W20" s="654">
        <f>V20*(1+$W$2)</f>
        <v>-284254266.71721464</v>
      </c>
      <c r="X20" s="336"/>
      <c r="Y20" s="186"/>
    </row>
    <row r="21" spans="1:25" s="39" customFormat="1" ht="16.5" customHeight="1" outlineLevel="3" x14ac:dyDescent="0.35">
      <c r="A21" s="174">
        <v>0</v>
      </c>
      <c r="B21" s="34">
        <v>0</v>
      </c>
      <c r="C21" s="36">
        <v>1</v>
      </c>
      <c r="D21" s="283" t="s">
        <v>1494</v>
      </c>
      <c r="E21" s="283" t="s">
        <v>221</v>
      </c>
      <c r="F21" s="283" t="s">
        <v>553</v>
      </c>
      <c r="G21" s="283" t="s">
        <v>1495</v>
      </c>
      <c r="H21" s="283" t="s">
        <v>1496</v>
      </c>
      <c r="I21" s="283" t="s">
        <v>1497</v>
      </c>
      <c r="J21" s="283" t="s">
        <v>136</v>
      </c>
      <c r="K21" s="33" t="s">
        <v>234</v>
      </c>
      <c r="L21" s="173"/>
      <c r="M21" s="248"/>
      <c r="N21" s="314"/>
      <c r="O21" s="260" t="s">
        <v>1535</v>
      </c>
      <c r="P21" s="653"/>
      <c r="Q21" s="653"/>
      <c r="R21" s="653"/>
      <c r="S21" s="653"/>
      <c r="T21" s="653"/>
      <c r="U21" s="653"/>
      <c r="V21" s="653"/>
      <c r="W21" s="653"/>
      <c r="X21" s="335"/>
      <c r="Y21" s="241"/>
    </row>
    <row r="22" spans="1:25" ht="16.5" customHeight="1" outlineLevel="3" x14ac:dyDescent="0.35">
      <c r="A22" s="174">
        <v>0</v>
      </c>
      <c r="B22" s="34">
        <v>0</v>
      </c>
      <c r="C22" s="36">
        <v>1</v>
      </c>
      <c r="D22" s="283" t="s">
        <v>1494</v>
      </c>
      <c r="E22" s="283" t="s">
        <v>221</v>
      </c>
      <c r="F22" s="283" t="s">
        <v>144</v>
      </c>
      <c r="G22" s="283" t="s">
        <v>1495</v>
      </c>
      <c r="H22" s="283" t="s">
        <v>1496</v>
      </c>
      <c r="I22" s="283" t="s">
        <v>1497</v>
      </c>
      <c r="J22" s="283" t="s">
        <v>136</v>
      </c>
      <c r="K22" s="33" t="s">
        <v>234</v>
      </c>
      <c r="L22" s="175"/>
      <c r="M22" s="635" t="str">
        <f t="shared" ref="M22:M35" si="5">RIGHT(O22,6)</f>
        <v>E1RLDP</v>
      </c>
      <c r="N22" s="634" t="s">
        <v>478</v>
      </c>
      <c r="O22" s="349" t="s">
        <v>1547</v>
      </c>
      <c r="P22" s="653">
        <v>5932</v>
      </c>
      <c r="Q22" s="653">
        <f t="shared" si="4"/>
        <v>13854</v>
      </c>
      <c r="R22" s="653">
        <v>19786</v>
      </c>
      <c r="S22" s="653">
        <v>-22986.462801528</v>
      </c>
      <c r="T22" s="653"/>
      <c r="U22" s="653">
        <v>-24848.366288451802</v>
      </c>
      <c r="V22" s="654">
        <v>-26145.4510087089</v>
      </c>
      <c r="W22" s="654">
        <f t="shared" ref="W22:W35" si="6">V22*(1+$W$2)</f>
        <v>-27714.178069231435</v>
      </c>
      <c r="X22" s="338" t="str">
        <f>CONCATENATE($X$26,N22,M22)</f>
        <v>Exchange Revenue:  Service Charges - Electricity:  Sales - Domestic Low:  Prepaid E1RLDP</v>
      </c>
      <c r="Y22" s="187"/>
    </row>
    <row r="23" spans="1:25" ht="16.5" customHeight="1" outlineLevel="3" x14ac:dyDescent="0.35">
      <c r="A23" s="174">
        <v>0</v>
      </c>
      <c r="B23" s="34">
        <v>0</v>
      </c>
      <c r="C23" s="36">
        <v>1</v>
      </c>
      <c r="D23" s="283" t="s">
        <v>1494</v>
      </c>
      <c r="E23" s="283" t="s">
        <v>221</v>
      </c>
      <c r="F23" s="283" t="s">
        <v>155</v>
      </c>
      <c r="G23" s="283" t="s">
        <v>1495</v>
      </c>
      <c r="H23" s="283" t="s">
        <v>1496</v>
      </c>
      <c r="I23" s="283" t="s">
        <v>1497</v>
      </c>
      <c r="J23" s="283" t="s">
        <v>136</v>
      </c>
      <c r="K23" s="33" t="s">
        <v>234</v>
      </c>
      <c r="L23" s="175"/>
      <c r="M23" s="635" t="str">
        <f t="shared" si="5"/>
        <v>E1RLDS</v>
      </c>
      <c r="N23" s="634" t="s">
        <v>478</v>
      </c>
      <c r="O23" s="349" t="s">
        <v>1548</v>
      </c>
      <c r="P23" s="653">
        <v>9038</v>
      </c>
      <c r="Q23" s="653">
        <f t="shared" si="4"/>
        <v>26445</v>
      </c>
      <c r="R23" s="653">
        <v>35483</v>
      </c>
      <c r="S23" s="653">
        <v>-38290.563148884001</v>
      </c>
      <c r="T23" s="653"/>
      <c r="U23" s="653">
        <v>-41392.098763943599</v>
      </c>
      <c r="V23" s="654">
        <v>-43552.766319421498</v>
      </c>
      <c r="W23" s="654">
        <f t="shared" si="6"/>
        <v>-46165.932298586791</v>
      </c>
      <c r="X23" s="337" t="s">
        <v>72</v>
      </c>
      <c r="Y23" s="188" t="s">
        <v>1906</v>
      </c>
    </row>
    <row r="24" spans="1:25" ht="16.5" customHeight="1" outlineLevel="3" x14ac:dyDescent="0.35">
      <c r="A24" s="174">
        <v>0</v>
      </c>
      <c r="B24" s="34">
        <v>0</v>
      </c>
      <c r="C24" s="36">
        <v>1</v>
      </c>
      <c r="D24" s="283" t="s">
        <v>1494</v>
      </c>
      <c r="E24" s="283" t="s">
        <v>221</v>
      </c>
      <c r="F24" s="283" t="s">
        <v>145</v>
      </c>
      <c r="G24" s="283" t="s">
        <v>1495</v>
      </c>
      <c r="H24" s="283" t="s">
        <v>1496</v>
      </c>
      <c r="I24" s="283" t="s">
        <v>1497</v>
      </c>
      <c r="J24" s="283" t="s">
        <v>136</v>
      </c>
      <c r="K24" s="33" t="s">
        <v>234</v>
      </c>
      <c r="L24" s="175"/>
      <c r="M24" s="635" t="str">
        <f t="shared" si="5"/>
        <v>E1RLDO</v>
      </c>
      <c r="N24" s="634" t="s">
        <v>478</v>
      </c>
      <c r="O24" s="349" t="s">
        <v>1549</v>
      </c>
      <c r="P24" s="653">
        <v>13532</v>
      </c>
      <c r="Q24" s="653">
        <f t="shared" si="4"/>
        <v>21704</v>
      </c>
      <c r="R24" s="653">
        <v>35236</v>
      </c>
      <c r="S24" s="653">
        <v>-38901.968708214001</v>
      </c>
      <c r="T24" s="653"/>
      <c r="U24" s="653">
        <v>-42053.028173579303</v>
      </c>
      <c r="V24" s="654">
        <v>-44248.1962442402</v>
      </c>
      <c r="W24" s="654">
        <f t="shared" si="6"/>
        <v>-46903.088018894618</v>
      </c>
      <c r="X24" s="337" t="s">
        <v>45</v>
      </c>
      <c r="Y24" s="188" t="s">
        <v>1907</v>
      </c>
    </row>
    <row r="25" spans="1:25" ht="16.5" customHeight="1" outlineLevel="3" x14ac:dyDescent="0.35">
      <c r="A25" s="174">
        <v>0</v>
      </c>
      <c r="B25" s="34">
        <v>0</v>
      </c>
      <c r="C25" s="36">
        <v>1</v>
      </c>
      <c r="D25" s="283" t="s">
        <v>1494</v>
      </c>
      <c r="E25" s="283" t="s">
        <v>221</v>
      </c>
      <c r="F25" s="283" t="s">
        <v>146</v>
      </c>
      <c r="G25" s="283" t="s">
        <v>1495</v>
      </c>
      <c r="H25" s="283" t="s">
        <v>1496</v>
      </c>
      <c r="I25" s="283" t="s">
        <v>1497</v>
      </c>
      <c r="J25" s="283" t="s">
        <v>136</v>
      </c>
      <c r="K25" s="33" t="s">
        <v>234</v>
      </c>
      <c r="L25" s="175"/>
      <c r="M25" s="635" t="str">
        <f t="shared" si="5"/>
        <v>E1RHDP</v>
      </c>
      <c r="N25" s="634"/>
      <c r="O25" s="349" t="s">
        <v>1550</v>
      </c>
      <c r="P25" s="653">
        <v>3128</v>
      </c>
      <c r="Q25" s="653">
        <f t="shared" si="4"/>
        <v>9295</v>
      </c>
      <c r="R25" s="653">
        <v>12423</v>
      </c>
      <c r="S25" s="653">
        <v>-13095.385189479</v>
      </c>
      <c r="T25" s="653"/>
      <c r="U25" s="653">
        <v>-14156.111389826799</v>
      </c>
      <c r="V25" s="654">
        <v>-14895.060404375799</v>
      </c>
      <c r="W25" s="654">
        <f t="shared" si="6"/>
        <v>-15788.764028638348</v>
      </c>
      <c r="X25" s="338"/>
      <c r="Y25" s="187"/>
    </row>
    <row r="26" spans="1:25" s="39" customFormat="1" ht="16.5" customHeight="1" outlineLevel="3" x14ac:dyDescent="0.35">
      <c r="A26" s="169">
        <v>0</v>
      </c>
      <c r="B26" s="170">
        <v>0</v>
      </c>
      <c r="C26" s="171">
        <v>1</v>
      </c>
      <c r="D26" s="283" t="s">
        <v>1494</v>
      </c>
      <c r="E26" s="283" t="s">
        <v>221</v>
      </c>
      <c r="F26" s="283" t="s">
        <v>147</v>
      </c>
      <c r="G26" s="283" t="s">
        <v>1495</v>
      </c>
      <c r="H26" s="283" t="s">
        <v>1496</v>
      </c>
      <c r="I26" s="283" t="s">
        <v>1497</v>
      </c>
      <c r="J26" s="283" t="s">
        <v>136</v>
      </c>
      <c r="K26" s="636" t="s">
        <v>234</v>
      </c>
      <c r="L26" s="173"/>
      <c r="M26" t="str">
        <f t="shared" si="5"/>
        <v>E1RHDS</v>
      </c>
      <c r="N26" s="634" t="s">
        <v>478</v>
      </c>
      <c r="O26" s="248" t="s">
        <v>1551</v>
      </c>
      <c r="P26" s="653">
        <v>2093</v>
      </c>
      <c r="Q26" s="653">
        <f t="shared" si="4"/>
        <v>12758</v>
      </c>
      <c r="R26" s="653">
        <v>14851</v>
      </c>
      <c r="S26" s="653">
        <v>-16567.334194542</v>
      </c>
      <c r="T26" s="653"/>
      <c r="U26" s="653">
        <v>-17909.288264299899</v>
      </c>
      <c r="V26" s="654">
        <v>-18844.1531116964</v>
      </c>
      <c r="W26" s="654">
        <f t="shared" si="6"/>
        <v>-19974.802298398186</v>
      </c>
      <c r="X26" s="337" t="s">
        <v>140</v>
      </c>
      <c r="Y26" s="242" t="s">
        <v>1908</v>
      </c>
    </row>
    <row r="27" spans="1:25" ht="16.5" customHeight="1" outlineLevel="3" x14ac:dyDescent="0.35">
      <c r="A27" s="174">
        <v>0</v>
      </c>
      <c r="B27" s="34">
        <v>0</v>
      </c>
      <c r="C27" s="36">
        <v>1</v>
      </c>
      <c r="D27" s="283" t="s">
        <v>1494</v>
      </c>
      <c r="E27" s="283" t="s">
        <v>221</v>
      </c>
      <c r="F27" s="283" t="s">
        <v>148</v>
      </c>
      <c r="G27" s="283" t="s">
        <v>1495</v>
      </c>
      <c r="H27" s="283" t="s">
        <v>1496</v>
      </c>
      <c r="I27" s="283" t="s">
        <v>1497</v>
      </c>
      <c r="J27" s="283" t="s">
        <v>136</v>
      </c>
      <c r="K27" s="33" t="s">
        <v>234</v>
      </c>
      <c r="L27" s="175"/>
      <c r="M27" s="635" t="str">
        <f t="shared" si="5"/>
        <v>E1RHDO</v>
      </c>
      <c r="N27" s="634" t="s">
        <v>478</v>
      </c>
      <c r="O27" s="349" t="s">
        <v>1552</v>
      </c>
      <c r="P27" s="653">
        <v>4972</v>
      </c>
      <c r="Q27" s="653">
        <f t="shared" si="4"/>
        <v>10509</v>
      </c>
      <c r="R27" s="653">
        <v>15481</v>
      </c>
      <c r="S27" s="653">
        <v>-15899.491101551999</v>
      </c>
      <c r="T27" s="653"/>
      <c r="U27" s="653">
        <v>-17187.3498807777</v>
      </c>
      <c r="V27" s="654">
        <v>-18084.529544554302</v>
      </c>
      <c r="W27" s="654">
        <f t="shared" si="6"/>
        <v>-19169.60131722756</v>
      </c>
      <c r="X27" s="338" t="str">
        <f>CONCATENATE($X$26,N27,M27)</f>
        <v>Exchange Revenue:  Service Charges - Electricity:  Sales - Domestic Low:  Prepaid E1RHDO</v>
      </c>
      <c r="Y27" s="187"/>
    </row>
    <row r="28" spans="1:25" ht="16.5" customHeight="1" outlineLevel="3" x14ac:dyDescent="0.35">
      <c r="A28" s="174">
        <v>0</v>
      </c>
      <c r="B28" s="34">
        <v>0</v>
      </c>
      <c r="C28" s="36">
        <v>1</v>
      </c>
      <c r="D28" s="283" t="s">
        <v>1494</v>
      </c>
      <c r="E28" s="283" t="s">
        <v>221</v>
      </c>
      <c r="F28" s="283" t="s">
        <v>149</v>
      </c>
      <c r="G28" s="283" t="s">
        <v>1495</v>
      </c>
      <c r="H28" s="283" t="s">
        <v>1496</v>
      </c>
      <c r="I28" s="283" t="s">
        <v>1497</v>
      </c>
      <c r="J28" s="283" t="s">
        <v>136</v>
      </c>
      <c r="K28" s="33" t="s">
        <v>234</v>
      </c>
      <c r="L28" s="175"/>
      <c r="M28" s="635" t="str">
        <f t="shared" si="5"/>
        <v>ELREBC</v>
      </c>
      <c r="N28" s="634" t="s">
        <v>478</v>
      </c>
      <c r="O28" s="349" t="s">
        <v>1553</v>
      </c>
      <c r="P28" s="653">
        <v>3949</v>
      </c>
      <c r="Q28" s="653">
        <f t="shared" si="4"/>
        <v>7632</v>
      </c>
      <c r="R28" s="653">
        <v>11581</v>
      </c>
      <c r="S28" s="653">
        <v>-11224.051847999999</v>
      </c>
      <c r="T28" s="653"/>
      <c r="U28" s="653">
        <v>-12133.200047688</v>
      </c>
      <c r="V28" s="654">
        <v>-12766.5530901773</v>
      </c>
      <c r="W28" s="654">
        <f t="shared" si="6"/>
        <v>-13532.546275587938</v>
      </c>
      <c r="X28" s="337" t="s">
        <v>47</v>
      </c>
      <c r="Y28" s="188" t="s">
        <v>1909</v>
      </c>
    </row>
    <row r="29" spans="1:25" ht="16.5" customHeight="1" outlineLevel="3" x14ac:dyDescent="0.35">
      <c r="A29" s="174">
        <v>0</v>
      </c>
      <c r="B29" s="34">
        <v>0</v>
      </c>
      <c r="C29" s="36">
        <v>1</v>
      </c>
      <c r="D29" s="283" t="s">
        <v>1494</v>
      </c>
      <c r="E29" s="283" t="s">
        <v>1528</v>
      </c>
      <c r="F29" s="283" t="s">
        <v>144</v>
      </c>
      <c r="G29" s="283" t="s">
        <v>1495</v>
      </c>
      <c r="H29" s="283" t="s">
        <v>1496</v>
      </c>
      <c r="I29" s="283" t="s">
        <v>1497</v>
      </c>
      <c r="J29" s="283" t="s">
        <v>136</v>
      </c>
      <c r="K29" s="33" t="s">
        <v>234</v>
      </c>
      <c r="L29" s="175"/>
      <c r="M29" s="635" t="str">
        <f t="shared" si="5"/>
        <v>ELRLDP</v>
      </c>
      <c r="N29" s="634"/>
      <c r="O29" s="634" t="s">
        <v>1504</v>
      </c>
      <c r="P29" s="653">
        <v>1957643</v>
      </c>
      <c r="Q29" s="653">
        <f t="shared" si="4"/>
        <v>649756</v>
      </c>
      <c r="R29" s="653">
        <v>2607399</v>
      </c>
      <c r="S29" s="653">
        <v>-3295157.6656251298</v>
      </c>
      <c r="T29" s="653"/>
      <c r="U29" s="653">
        <v>-3562065.4365407601</v>
      </c>
      <c r="V29" s="654">
        <v>-3748005.25232819</v>
      </c>
      <c r="W29" s="654">
        <f t="shared" si="6"/>
        <v>-3972885.5674678818</v>
      </c>
      <c r="X29" s="338"/>
      <c r="Y29" s="187"/>
    </row>
    <row r="30" spans="1:25" ht="16.5" customHeight="1" outlineLevel="3" x14ac:dyDescent="0.35">
      <c r="A30" s="174">
        <v>0</v>
      </c>
      <c r="B30" s="34">
        <v>0</v>
      </c>
      <c r="C30" s="36">
        <v>1</v>
      </c>
      <c r="D30" s="283" t="s">
        <v>1494</v>
      </c>
      <c r="E30" s="283" t="s">
        <v>1528</v>
      </c>
      <c r="F30" s="283" t="s">
        <v>155</v>
      </c>
      <c r="G30" s="283" t="s">
        <v>1495</v>
      </c>
      <c r="H30" s="283" t="s">
        <v>1496</v>
      </c>
      <c r="I30" s="283" t="s">
        <v>1497</v>
      </c>
      <c r="J30" s="283" t="s">
        <v>136</v>
      </c>
      <c r="K30" s="33" t="s">
        <v>234</v>
      </c>
      <c r="L30" s="175"/>
      <c r="M30" s="635" t="str">
        <f t="shared" si="5"/>
        <v>ELRLDS</v>
      </c>
      <c r="N30" s="634"/>
      <c r="O30" s="310" t="s">
        <v>1554</v>
      </c>
      <c r="P30" s="653">
        <v>3191233</v>
      </c>
      <c r="Q30" s="653">
        <f t="shared" si="4"/>
        <v>1144615</v>
      </c>
      <c r="R30" s="653">
        <v>4335848</v>
      </c>
      <c r="S30" s="653">
        <v>-5260355.1734327804</v>
      </c>
      <c r="T30" s="653"/>
      <c r="U30" s="653">
        <v>-5686443.9424808295</v>
      </c>
      <c r="V30" s="654">
        <v>-5983276.3162783301</v>
      </c>
      <c r="W30" s="654">
        <f t="shared" si="6"/>
        <v>-6342272.8952550301</v>
      </c>
      <c r="X30" s="338"/>
      <c r="Y30" s="187"/>
    </row>
    <row r="31" spans="1:25" ht="16.5" customHeight="1" outlineLevel="3" x14ac:dyDescent="0.35">
      <c r="A31" s="174">
        <v>0</v>
      </c>
      <c r="B31" s="34">
        <v>0</v>
      </c>
      <c r="C31" s="36">
        <v>1</v>
      </c>
      <c r="D31" s="283" t="s">
        <v>1494</v>
      </c>
      <c r="E31" s="283" t="s">
        <v>1528</v>
      </c>
      <c r="F31" s="283" t="s">
        <v>145</v>
      </c>
      <c r="G31" s="283" t="s">
        <v>1495</v>
      </c>
      <c r="H31" s="283" t="s">
        <v>1496</v>
      </c>
      <c r="I31" s="283" t="s">
        <v>1497</v>
      </c>
      <c r="J31" s="283" t="s">
        <v>136</v>
      </c>
      <c r="K31" s="33" t="s">
        <v>234</v>
      </c>
      <c r="L31" s="175"/>
      <c r="M31" s="635" t="str">
        <f t="shared" si="5"/>
        <v>ELRLDO</v>
      </c>
      <c r="N31" s="634"/>
      <c r="O31" s="349" t="s">
        <v>1555</v>
      </c>
      <c r="P31" s="653">
        <v>3089903</v>
      </c>
      <c r="Q31" s="653">
        <f t="shared" si="4"/>
        <v>995657</v>
      </c>
      <c r="R31" s="653">
        <v>4085560</v>
      </c>
      <c r="S31" s="653">
        <v>-5113258.5117830997</v>
      </c>
      <c r="T31" s="653"/>
      <c r="U31" s="653">
        <v>-5527432.4512375398</v>
      </c>
      <c r="V31" s="654">
        <v>-5815964.4251921298</v>
      </c>
      <c r="W31" s="654">
        <f t="shared" si="6"/>
        <v>-6164922.290703658</v>
      </c>
      <c r="X31" s="338"/>
      <c r="Y31" s="187"/>
    </row>
    <row r="32" spans="1:25" ht="16.5" customHeight="1" outlineLevel="3" x14ac:dyDescent="0.35">
      <c r="A32" s="174">
        <v>0</v>
      </c>
      <c r="B32" s="34">
        <v>0</v>
      </c>
      <c r="C32" s="36">
        <v>1</v>
      </c>
      <c r="D32" s="283" t="s">
        <v>1494</v>
      </c>
      <c r="E32" s="283" t="s">
        <v>1528</v>
      </c>
      <c r="F32" s="283" t="s">
        <v>146</v>
      </c>
      <c r="G32" s="283" t="s">
        <v>1495</v>
      </c>
      <c r="H32" s="283" t="s">
        <v>1496</v>
      </c>
      <c r="I32" s="283" t="s">
        <v>1497</v>
      </c>
      <c r="J32" s="283" t="s">
        <v>136</v>
      </c>
      <c r="K32" s="33" t="s">
        <v>234</v>
      </c>
      <c r="L32" s="175"/>
      <c r="M32" s="635" t="str">
        <f t="shared" si="5"/>
        <v>ELRHDP</v>
      </c>
      <c r="N32" s="634"/>
      <c r="O32" s="310" t="s">
        <v>1557</v>
      </c>
      <c r="P32" s="653">
        <v>1710693</v>
      </c>
      <c r="Q32" s="653">
        <f t="shared" si="4"/>
        <v>425734</v>
      </c>
      <c r="R32" s="653">
        <v>2136427</v>
      </c>
      <c r="S32" s="653">
        <v>-2255587.5176070398</v>
      </c>
      <c r="T32" s="653"/>
      <c r="U32" s="653">
        <v>-2438290.1065332098</v>
      </c>
      <c r="V32" s="654">
        <v>-2565568.8500942499</v>
      </c>
      <c r="W32" s="654">
        <f t="shared" si="6"/>
        <v>-2719502.981099905</v>
      </c>
      <c r="X32" s="338"/>
      <c r="Y32" s="187"/>
    </row>
    <row r="33" spans="1:25" ht="16.5" customHeight="1" outlineLevel="3" x14ac:dyDescent="0.35">
      <c r="A33" s="174">
        <v>0</v>
      </c>
      <c r="B33" s="34">
        <v>0</v>
      </c>
      <c r="C33" s="36">
        <v>1</v>
      </c>
      <c r="D33" s="283" t="s">
        <v>1494</v>
      </c>
      <c r="E33" s="283" t="s">
        <v>1528</v>
      </c>
      <c r="F33" s="283" t="s">
        <v>147</v>
      </c>
      <c r="G33" s="283" t="s">
        <v>1495</v>
      </c>
      <c r="H33" s="283" t="s">
        <v>1496</v>
      </c>
      <c r="I33" s="283" t="s">
        <v>1497</v>
      </c>
      <c r="J33" s="283" t="s">
        <v>136</v>
      </c>
      <c r="K33" s="33" t="s">
        <v>234</v>
      </c>
      <c r="L33" s="175"/>
      <c r="M33" s="635" t="str">
        <f t="shared" si="5"/>
        <v>ELRHDS</v>
      </c>
      <c r="N33" s="634"/>
      <c r="O33" s="310" t="s">
        <v>1556</v>
      </c>
      <c r="P33" s="653">
        <v>1898222</v>
      </c>
      <c r="Q33" s="653">
        <f t="shared" si="4"/>
        <v>567786</v>
      </c>
      <c r="R33" s="653">
        <v>2466008</v>
      </c>
      <c r="S33" s="653">
        <v>-2765806.3655118002</v>
      </c>
      <c r="T33" s="653"/>
      <c r="U33" s="653">
        <v>-2989836.6811182499</v>
      </c>
      <c r="V33" s="654">
        <v>-3145906.15587263</v>
      </c>
      <c r="W33" s="654">
        <f t="shared" si="6"/>
        <v>-3334660.5252249879</v>
      </c>
      <c r="X33" s="338"/>
      <c r="Y33" s="187"/>
    </row>
    <row r="34" spans="1:25" ht="16.5" customHeight="1" outlineLevel="3" x14ac:dyDescent="0.35">
      <c r="A34" s="174">
        <v>0</v>
      </c>
      <c r="B34" s="34">
        <v>0</v>
      </c>
      <c r="C34" s="36">
        <v>1</v>
      </c>
      <c r="D34" s="283" t="s">
        <v>1494</v>
      </c>
      <c r="E34" s="283" t="s">
        <v>1528</v>
      </c>
      <c r="F34" s="283" t="s">
        <v>148</v>
      </c>
      <c r="G34" s="283" t="s">
        <v>1495</v>
      </c>
      <c r="H34" s="283" t="s">
        <v>1496</v>
      </c>
      <c r="I34" s="283" t="s">
        <v>1497</v>
      </c>
      <c r="J34" s="283" t="s">
        <v>136</v>
      </c>
      <c r="K34" s="33" t="s">
        <v>234</v>
      </c>
      <c r="L34" s="175"/>
      <c r="M34" s="635" t="str">
        <f t="shared" si="5"/>
        <v>ELRHDO</v>
      </c>
      <c r="N34" s="634"/>
      <c r="O34" s="310" t="s">
        <v>1558</v>
      </c>
      <c r="P34" s="653">
        <v>1907967</v>
      </c>
      <c r="Q34" s="653">
        <f t="shared" si="4"/>
        <v>581572</v>
      </c>
      <c r="R34" s="653">
        <v>2489539</v>
      </c>
      <c r="S34" s="653">
        <v>-2577057.6737529198</v>
      </c>
      <c r="T34" s="653"/>
      <c r="U34" s="653">
        <v>-2785799.3453269</v>
      </c>
      <c r="V34" s="654">
        <v>-2931218.0711529702</v>
      </c>
      <c r="W34" s="654">
        <f t="shared" si="6"/>
        <v>-3107091.1554221488</v>
      </c>
      <c r="X34" s="338"/>
      <c r="Y34" s="187"/>
    </row>
    <row r="35" spans="1:25" ht="16.5" customHeight="1" outlineLevel="3" x14ac:dyDescent="0.35">
      <c r="A35" s="174">
        <v>0</v>
      </c>
      <c r="B35" s="34">
        <v>0</v>
      </c>
      <c r="C35" s="36">
        <v>1</v>
      </c>
      <c r="D35" s="283" t="s">
        <v>1494</v>
      </c>
      <c r="E35" s="283" t="s">
        <v>1528</v>
      </c>
      <c r="F35" s="283" t="s">
        <v>149</v>
      </c>
      <c r="G35" s="283" t="s">
        <v>1495</v>
      </c>
      <c r="H35" s="283" t="s">
        <v>1496</v>
      </c>
      <c r="I35" s="283" t="s">
        <v>1497</v>
      </c>
      <c r="J35" s="283" t="s">
        <v>136</v>
      </c>
      <c r="K35" s="33" t="s">
        <v>234</v>
      </c>
      <c r="L35" s="175"/>
      <c r="M35" s="635" t="str">
        <f t="shared" si="5"/>
        <v>ELROBC</v>
      </c>
      <c r="N35" s="634"/>
      <c r="O35" s="349" t="s">
        <v>1505</v>
      </c>
      <c r="P35" s="653">
        <v>452349</v>
      </c>
      <c r="Q35" s="653">
        <f t="shared" si="4"/>
        <v>375876</v>
      </c>
      <c r="R35" s="653">
        <v>828225</v>
      </c>
      <c r="S35" s="653">
        <v>-940914.82044299995</v>
      </c>
      <c r="T35" s="653"/>
      <c r="U35" s="653">
        <v>-1017128.92089888</v>
      </c>
      <c r="V35" s="654">
        <v>-1070223.0505698</v>
      </c>
      <c r="W35" s="654">
        <f t="shared" si="6"/>
        <v>-1134436.433603988</v>
      </c>
      <c r="X35" s="338"/>
      <c r="Y35" s="187"/>
    </row>
    <row r="36" spans="1:25" s="39" customFormat="1" ht="16.5" customHeight="1" outlineLevel="3" x14ac:dyDescent="0.35">
      <c r="A36" s="174">
        <v>0</v>
      </c>
      <c r="B36" s="34">
        <v>0</v>
      </c>
      <c r="C36" s="36">
        <v>1</v>
      </c>
      <c r="D36" s="283" t="s">
        <v>1494</v>
      </c>
      <c r="E36" s="283" t="s">
        <v>1529</v>
      </c>
      <c r="F36" s="283" t="s">
        <v>553</v>
      </c>
      <c r="G36" s="283" t="s">
        <v>1495</v>
      </c>
      <c r="H36" s="283" t="s">
        <v>1496</v>
      </c>
      <c r="I36" s="283" t="s">
        <v>1497</v>
      </c>
      <c r="J36" s="283" t="s">
        <v>136</v>
      </c>
      <c r="K36" s="33" t="s">
        <v>234</v>
      </c>
      <c r="L36" s="173"/>
      <c r="M36" s="248"/>
      <c r="N36" s="314"/>
      <c r="O36" s="260" t="s">
        <v>1536</v>
      </c>
      <c r="P36" s="653"/>
      <c r="Q36" s="653"/>
      <c r="R36" s="653"/>
      <c r="S36" s="653"/>
      <c r="T36" s="653"/>
      <c r="U36" s="653"/>
      <c r="V36" s="653"/>
      <c r="W36" s="653"/>
      <c r="X36" s="335"/>
      <c r="Y36" s="241"/>
    </row>
    <row r="37" spans="1:25" s="39" customFormat="1" ht="16.5" customHeight="1" outlineLevel="3" x14ac:dyDescent="0.35">
      <c r="A37" s="169">
        <v>0</v>
      </c>
      <c r="B37" s="170">
        <v>0</v>
      </c>
      <c r="C37" s="171">
        <v>1</v>
      </c>
      <c r="D37" s="283" t="s">
        <v>1494</v>
      </c>
      <c r="E37" s="283" t="s">
        <v>1529</v>
      </c>
      <c r="F37" s="283" t="s">
        <v>144</v>
      </c>
      <c r="G37" s="283" t="s">
        <v>1495</v>
      </c>
      <c r="H37" s="283" t="s">
        <v>1496</v>
      </c>
      <c r="I37" s="283" t="s">
        <v>1497</v>
      </c>
      <c r="J37" s="283" t="s">
        <v>136</v>
      </c>
      <c r="K37" s="636" t="s">
        <v>234</v>
      </c>
      <c r="L37" s="173"/>
      <c r="M37" t="str">
        <f t="shared" ref="M37:M44" si="7">RIGHT(O37,6)</f>
        <v>ELP004</v>
      </c>
      <c r="N37" s="634" t="s">
        <v>478</v>
      </c>
      <c r="O37" s="248" t="s">
        <v>1559</v>
      </c>
      <c r="P37" s="653">
        <v>7259251</v>
      </c>
      <c r="Q37" s="653">
        <f t="shared" si="4"/>
        <v>-201409</v>
      </c>
      <c r="R37" s="653">
        <v>7057842</v>
      </c>
      <c r="S37" s="653">
        <v>-8589356.5889086109</v>
      </c>
      <c r="T37" s="653"/>
      <c r="U37" s="653">
        <v>-9285094.4726102091</v>
      </c>
      <c r="V37" s="654">
        <v>-9769776.4040804598</v>
      </c>
      <c r="W37" s="654">
        <f t="shared" ref="W37:W44" si="8">V37*(1+$W$2)</f>
        <v>-10355962.988325289</v>
      </c>
      <c r="X37" s="339" t="s">
        <v>50</v>
      </c>
      <c r="Y37" s="243" t="s">
        <v>1910</v>
      </c>
    </row>
    <row r="38" spans="1:25" ht="16.5" customHeight="1" outlineLevel="3" x14ac:dyDescent="0.35">
      <c r="A38" s="174">
        <v>0</v>
      </c>
      <c r="B38" s="34">
        <v>0</v>
      </c>
      <c r="C38" s="36">
        <v>1</v>
      </c>
      <c r="D38" s="283" t="s">
        <v>1494</v>
      </c>
      <c r="E38" s="283" t="s">
        <v>1529</v>
      </c>
      <c r="F38" s="283" t="s">
        <v>155</v>
      </c>
      <c r="G38" s="283" t="s">
        <v>1495</v>
      </c>
      <c r="H38" s="283" t="s">
        <v>1496</v>
      </c>
      <c r="I38" s="283" t="s">
        <v>1497</v>
      </c>
      <c r="J38" s="283" t="s">
        <v>136</v>
      </c>
      <c r="K38" s="33" t="s">
        <v>234</v>
      </c>
      <c r="L38" s="175"/>
      <c r="M38" s="245" t="str">
        <f t="shared" si="7"/>
        <v>ELS004</v>
      </c>
      <c r="N38" s="634" t="s">
        <v>478</v>
      </c>
      <c r="O38" s="364" t="s">
        <v>1560</v>
      </c>
      <c r="P38" s="653">
        <v>12697503</v>
      </c>
      <c r="Q38" s="653">
        <f t="shared" si="4"/>
        <v>-95961</v>
      </c>
      <c r="R38" s="653">
        <v>12601542</v>
      </c>
      <c r="S38" s="653">
        <v>-15217073.8417078</v>
      </c>
      <c r="T38" s="653"/>
      <c r="U38" s="653">
        <v>-16449656.8228861</v>
      </c>
      <c r="V38" s="654">
        <v>-17308328.909040801</v>
      </c>
      <c r="W38" s="654">
        <f t="shared" si="8"/>
        <v>-18346828.643583249</v>
      </c>
      <c r="X38" s="340" t="str">
        <f>CONCATENATE($X$37,N38,M38)</f>
        <v>Exchange Revenue:  Service Charges - Electricity:  Sales - Domestic High:  Home power Bulk ELS004</v>
      </c>
      <c r="Y38" s="188"/>
    </row>
    <row r="39" spans="1:25" ht="16.5" customHeight="1" outlineLevel="3" x14ac:dyDescent="0.35">
      <c r="A39" s="174">
        <v>0</v>
      </c>
      <c r="B39" s="34">
        <v>0</v>
      </c>
      <c r="C39" s="36">
        <v>1</v>
      </c>
      <c r="D39" s="283" t="s">
        <v>1494</v>
      </c>
      <c r="E39" s="283" t="s">
        <v>1529</v>
      </c>
      <c r="F39" s="283" t="s">
        <v>145</v>
      </c>
      <c r="G39" s="283" t="s">
        <v>1495</v>
      </c>
      <c r="H39" s="283" t="s">
        <v>1496</v>
      </c>
      <c r="I39" s="283" t="s">
        <v>1497</v>
      </c>
      <c r="J39" s="283" t="s">
        <v>136</v>
      </c>
      <c r="K39" s="33" t="s">
        <v>234</v>
      </c>
      <c r="L39" s="175"/>
      <c r="M39" s="245" t="str">
        <f t="shared" si="7"/>
        <v>ELO004</v>
      </c>
      <c r="N39" s="634" t="s">
        <v>478</v>
      </c>
      <c r="O39" s="364" t="s">
        <v>1506</v>
      </c>
      <c r="P39" s="653">
        <v>10085714</v>
      </c>
      <c r="Q39" s="653">
        <f t="shared" si="4"/>
        <v>51171</v>
      </c>
      <c r="R39" s="653">
        <v>10136885</v>
      </c>
      <c r="S39" s="653">
        <v>-12991471.329742</v>
      </c>
      <c r="T39" s="653"/>
      <c r="U39" s="653">
        <v>-14043780.5074511</v>
      </c>
      <c r="V39" s="654">
        <v>-14776865.84994</v>
      </c>
      <c r="W39" s="654">
        <f t="shared" si="8"/>
        <v>-15663477.800936401</v>
      </c>
      <c r="X39" s="340" t="str">
        <f>CONCATENATE($X$37,N39,M39)</f>
        <v>Exchange Revenue:  Service Charges - Electricity:  Sales - Domestic High:  Home power Bulk ELO004</v>
      </c>
      <c r="Y39" s="188"/>
    </row>
    <row r="40" spans="1:25" s="39" customFormat="1" ht="16.5" customHeight="1" outlineLevel="3" x14ac:dyDescent="0.35">
      <c r="A40" s="169">
        <v>0</v>
      </c>
      <c r="B40" s="170">
        <v>0</v>
      </c>
      <c r="C40" s="171">
        <v>1</v>
      </c>
      <c r="D40" s="283" t="s">
        <v>1494</v>
      </c>
      <c r="E40" s="283" t="s">
        <v>1529</v>
      </c>
      <c r="F40" s="283" t="s">
        <v>146</v>
      </c>
      <c r="G40" s="283" t="s">
        <v>1495</v>
      </c>
      <c r="H40" s="283" t="s">
        <v>1496</v>
      </c>
      <c r="I40" s="283" t="s">
        <v>1497</v>
      </c>
      <c r="J40" s="283" t="s">
        <v>136</v>
      </c>
      <c r="K40" s="636" t="s">
        <v>234</v>
      </c>
      <c r="L40" s="173"/>
      <c r="M40" t="str">
        <f t="shared" si="7"/>
        <v>ELHPO4</v>
      </c>
      <c r="N40" s="634" t="s">
        <v>478</v>
      </c>
      <c r="O40" s="248" t="s">
        <v>1561</v>
      </c>
      <c r="P40" s="653">
        <v>5021252</v>
      </c>
      <c r="Q40" s="653">
        <f t="shared" si="4"/>
        <v>-343977</v>
      </c>
      <c r="R40" s="653">
        <v>4677275</v>
      </c>
      <c r="S40" s="653">
        <v>-5206245.6957134204</v>
      </c>
      <c r="T40" s="653"/>
      <c r="U40" s="653">
        <v>-5627951.5970662003</v>
      </c>
      <c r="V40" s="654">
        <v>-5921730.6704330603</v>
      </c>
      <c r="W40" s="654">
        <f t="shared" si="8"/>
        <v>-6277034.5106590446</v>
      </c>
      <c r="X40" s="337" t="s">
        <v>73</v>
      </c>
      <c r="Y40" s="243" t="s">
        <v>1911</v>
      </c>
    </row>
    <row r="41" spans="1:25" ht="16.5" customHeight="1" outlineLevel="3" x14ac:dyDescent="0.35">
      <c r="A41" s="174">
        <v>0</v>
      </c>
      <c r="B41" s="34">
        <v>0</v>
      </c>
      <c r="C41" s="36">
        <v>1</v>
      </c>
      <c r="D41" s="283" t="s">
        <v>1494</v>
      </c>
      <c r="E41" s="283" t="s">
        <v>1529</v>
      </c>
      <c r="F41" s="283" t="s">
        <v>147</v>
      </c>
      <c r="G41" s="283" t="s">
        <v>1495</v>
      </c>
      <c r="H41" s="283" t="s">
        <v>1496</v>
      </c>
      <c r="I41" s="283" t="s">
        <v>1497</v>
      </c>
      <c r="J41" s="283" t="s">
        <v>136</v>
      </c>
      <c r="K41" s="33" t="s">
        <v>234</v>
      </c>
      <c r="L41" s="175"/>
      <c r="M41" s="635" t="str">
        <f t="shared" si="7"/>
        <v>ELHSO4</v>
      </c>
      <c r="N41" s="634" t="s">
        <v>478</v>
      </c>
      <c r="O41" s="364" t="s">
        <v>1562</v>
      </c>
      <c r="P41" s="653">
        <v>7377232</v>
      </c>
      <c r="Q41" s="653">
        <f t="shared" si="4"/>
        <v>-549654</v>
      </c>
      <c r="R41" s="653">
        <v>6827578</v>
      </c>
      <c r="S41" s="653">
        <v>-7788068.5470673097</v>
      </c>
      <c r="T41" s="653"/>
      <c r="U41" s="653">
        <v>-8418902.0993797593</v>
      </c>
      <c r="V41" s="654">
        <v>-8858368.7889673803</v>
      </c>
      <c r="W41" s="654">
        <f t="shared" si="8"/>
        <v>-9389870.9163054228</v>
      </c>
      <c r="X41" s="338" t="str">
        <f>CONCATENATE($X$40,N41,M41)</f>
        <v>Exchange Revenue:  Service Charges - Electricity:  Sales - Domestic High:  Home power 4 ELHSO4</v>
      </c>
      <c r="Y41" s="188"/>
    </row>
    <row r="42" spans="1:25" ht="16.5" customHeight="1" outlineLevel="3" x14ac:dyDescent="0.35">
      <c r="A42" s="174">
        <v>0</v>
      </c>
      <c r="B42" s="34">
        <v>0</v>
      </c>
      <c r="C42" s="36">
        <v>1</v>
      </c>
      <c r="D42" s="283" t="s">
        <v>1494</v>
      </c>
      <c r="E42" s="283" t="s">
        <v>1529</v>
      </c>
      <c r="F42" s="283" t="s">
        <v>148</v>
      </c>
      <c r="G42" s="283" t="s">
        <v>1495</v>
      </c>
      <c r="H42" s="283" t="s">
        <v>1496</v>
      </c>
      <c r="I42" s="283" t="s">
        <v>1497</v>
      </c>
      <c r="J42" s="283" t="s">
        <v>136</v>
      </c>
      <c r="K42" s="33" t="s">
        <v>234</v>
      </c>
      <c r="L42" s="175"/>
      <c r="M42" s="635" t="str">
        <f t="shared" si="7"/>
        <v>ELHO04</v>
      </c>
      <c r="N42" s="634" t="s">
        <v>478</v>
      </c>
      <c r="O42" s="364" t="s">
        <v>1563</v>
      </c>
      <c r="P42" s="653">
        <v>6370760</v>
      </c>
      <c r="Q42" s="653">
        <f t="shared" si="4"/>
        <v>-99312</v>
      </c>
      <c r="R42" s="653">
        <v>6271448</v>
      </c>
      <c r="S42" s="653">
        <v>-6649992.0852193702</v>
      </c>
      <c r="T42" s="653"/>
      <c r="U42" s="653">
        <v>-7188641.4441221403</v>
      </c>
      <c r="V42" s="654">
        <v>-7563888.5275053103</v>
      </c>
      <c r="W42" s="654">
        <f t="shared" si="8"/>
        <v>-8017721.8391556293</v>
      </c>
      <c r="X42" s="338" t="str">
        <f>CONCATENATE($X$40,N42,M42)</f>
        <v>Exchange Revenue:  Service Charges - Electricity:  Sales - Domestic High:  Home power 4 ELHO04</v>
      </c>
      <c r="Y42" s="188"/>
    </row>
    <row r="43" spans="1:25" ht="16.5" customHeight="1" outlineLevel="3" x14ac:dyDescent="0.35">
      <c r="A43" s="174">
        <v>0</v>
      </c>
      <c r="B43" s="34">
        <v>0</v>
      </c>
      <c r="C43" s="36">
        <v>1</v>
      </c>
      <c r="D43" s="283" t="s">
        <v>1494</v>
      </c>
      <c r="E43" s="283" t="s">
        <v>1529</v>
      </c>
      <c r="F43" s="283" t="s">
        <v>149</v>
      </c>
      <c r="G43" s="283" t="s">
        <v>1495</v>
      </c>
      <c r="H43" s="283" t="s">
        <v>1496</v>
      </c>
      <c r="I43" s="283" t="s">
        <v>1497</v>
      </c>
      <c r="J43" s="283" t="s">
        <v>136</v>
      </c>
      <c r="K43" s="33" t="s">
        <v>234</v>
      </c>
      <c r="L43" s="175"/>
      <c r="M43" s="245" t="str">
        <f t="shared" si="7"/>
        <v>ACC004</v>
      </c>
      <c r="N43" s="634" t="s">
        <v>478</v>
      </c>
      <c r="O43" s="364" t="s">
        <v>1564</v>
      </c>
      <c r="P43" s="653">
        <v>956893</v>
      </c>
      <c r="Q43" s="653">
        <f t="shared" si="4"/>
        <v>16843</v>
      </c>
      <c r="R43" s="653">
        <v>973736</v>
      </c>
      <c r="S43" s="653">
        <v>-1129234.6128</v>
      </c>
      <c r="T43" s="653"/>
      <c r="U43" s="653">
        <v>-1220702.6164368</v>
      </c>
      <c r="V43" s="654">
        <v>-1284423.2930147999</v>
      </c>
      <c r="W43" s="654">
        <f t="shared" si="8"/>
        <v>-1361488.6905956881</v>
      </c>
      <c r="X43" s="340" t="str">
        <f>CONCATENATE($X$37,N43,M43)</f>
        <v>Exchange Revenue:  Service Charges - Electricity:  Sales - Domestic High:  Home power Bulk ACC004</v>
      </c>
      <c r="Y43" s="188"/>
    </row>
    <row r="44" spans="1:25" ht="16.5" customHeight="1" outlineLevel="3" x14ac:dyDescent="0.35">
      <c r="A44" s="174">
        <v>0</v>
      </c>
      <c r="B44" s="34">
        <v>0</v>
      </c>
      <c r="C44" s="36">
        <v>1</v>
      </c>
      <c r="D44" s="283" t="s">
        <v>1494</v>
      </c>
      <c r="E44" s="283" t="s">
        <v>1529</v>
      </c>
      <c r="F44" s="283" t="s">
        <v>150</v>
      </c>
      <c r="G44" s="283" t="s">
        <v>1495</v>
      </c>
      <c r="H44" s="283" t="s">
        <v>1496</v>
      </c>
      <c r="I44" s="283" t="s">
        <v>1497</v>
      </c>
      <c r="J44" s="283" t="s">
        <v>136</v>
      </c>
      <c r="K44" s="33" t="s">
        <v>234</v>
      </c>
      <c r="L44" s="175"/>
      <c r="M44" s="245" t="str">
        <f t="shared" si="7"/>
        <v>ELK004</v>
      </c>
      <c r="N44" s="634" t="s">
        <v>478</v>
      </c>
      <c r="O44" s="364" t="s">
        <v>1507</v>
      </c>
      <c r="P44" s="653">
        <v>1782740</v>
      </c>
      <c r="Q44" s="653">
        <f t="shared" si="4"/>
        <v>284959</v>
      </c>
      <c r="R44" s="653">
        <v>2067699</v>
      </c>
      <c r="S44" s="653">
        <v>-2050378.36391334</v>
      </c>
      <c r="T44" s="653"/>
      <c r="U44" s="653">
        <v>-2216459.01139032</v>
      </c>
      <c r="V44" s="654">
        <v>-2332158.1717849001</v>
      </c>
      <c r="W44" s="654">
        <f t="shared" si="8"/>
        <v>-2472087.6620919942</v>
      </c>
      <c r="X44" s="340" t="str">
        <f>CONCATENATE($X$37,N44,M44)</f>
        <v>Exchange Revenue:  Service Charges - Electricity:  Sales - Domestic High:  Home power Bulk ELK004</v>
      </c>
      <c r="Y44" s="188"/>
    </row>
    <row r="45" spans="1:25" s="39" customFormat="1" ht="16.5" customHeight="1" outlineLevel="3" x14ac:dyDescent="0.35">
      <c r="A45" s="174">
        <v>0</v>
      </c>
      <c r="B45" s="34">
        <v>0</v>
      </c>
      <c r="C45" s="36">
        <v>1</v>
      </c>
      <c r="D45" s="283" t="s">
        <v>1494</v>
      </c>
      <c r="E45" s="283" t="s">
        <v>1530</v>
      </c>
      <c r="F45" s="283" t="s">
        <v>553</v>
      </c>
      <c r="G45" s="283" t="s">
        <v>1495</v>
      </c>
      <c r="H45" s="283" t="s">
        <v>1496</v>
      </c>
      <c r="I45" s="283" t="s">
        <v>1497</v>
      </c>
      <c r="J45" s="283" t="s">
        <v>136</v>
      </c>
      <c r="K45" s="33" t="s">
        <v>234</v>
      </c>
      <c r="L45" s="173"/>
      <c r="M45" s="248"/>
      <c r="N45" s="314"/>
      <c r="O45" s="260" t="s">
        <v>1537</v>
      </c>
      <c r="P45" s="653"/>
      <c r="Q45" s="653"/>
      <c r="R45" s="653"/>
      <c r="S45" s="653"/>
      <c r="T45" s="653"/>
      <c r="U45" s="653"/>
      <c r="V45" s="653"/>
      <c r="W45" s="653"/>
      <c r="X45" s="335"/>
      <c r="Y45" s="241"/>
    </row>
    <row r="46" spans="1:25" ht="16.5" customHeight="1" outlineLevel="3" x14ac:dyDescent="0.35">
      <c r="A46" s="174">
        <v>0</v>
      </c>
      <c r="B46" s="34">
        <v>0</v>
      </c>
      <c r="C46" s="36">
        <v>1</v>
      </c>
      <c r="D46" s="283" t="s">
        <v>1494</v>
      </c>
      <c r="E46" s="283" t="s">
        <v>1530</v>
      </c>
      <c r="F46" s="283" t="s">
        <v>144</v>
      </c>
      <c r="G46" s="283" t="s">
        <v>1495</v>
      </c>
      <c r="H46" s="283" t="s">
        <v>1496</v>
      </c>
      <c r="I46" s="283" t="s">
        <v>1497</v>
      </c>
      <c r="J46" s="283" t="s">
        <v>136</v>
      </c>
      <c r="K46" s="33" t="s">
        <v>234</v>
      </c>
      <c r="L46" s="175"/>
      <c r="M46" s="248" t="str">
        <f t="shared" ref="M46:M53" si="9">RIGHT(O46,6)</f>
        <v>ELP005</v>
      </c>
      <c r="N46" s="349" t="s">
        <v>478</v>
      </c>
      <c r="O46" s="248" t="s">
        <v>1510</v>
      </c>
      <c r="P46" s="653">
        <v>10515996</v>
      </c>
      <c r="Q46" s="653">
        <f t="shared" si="4"/>
        <v>-1411443</v>
      </c>
      <c r="R46" s="653">
        <v>9104553</v>
      </c>
      <c r="S46" s="653">
        <v>-10630137.536152201</v>
      </c>
      <c r="T46" s="653"/>
      <c r="U46" s="653">
        <v>-11491178.6765805</v>
      </c>
      <c r="V46" s="654">
        <v>-12091018.203498</v>
      </c>
      <c r="W46" s="654">
        <f t="shared" ref="W46:W53" si="10">V46*(1+$W$2)</f>
        <v>-12816479.295707881</v>
      </c>
      <c r="X46" s="340" t="str">
        <f t="shared" ref="X46:X53" si="11">CONCATENATE($X$37,N46,M46)</f>
        <v>Exchange Revenue:  Service Charges - Electricity:  Sales - Domestic High:  Home power Bulk ELP005</v>
      </c>
      <c r="Y46" s="188"/>
    </row>
    <row r="47" spans="1:25" ht="16.5" customHeight="1" outlineLevel="3" x14ac:dyDescent="0.35">
      <c r="A47" s="174">
        <v>0</v>
      </c>
      <c r="B47" s="34">
        <v>0</v>
      </c>
      <c r="C47" s="36">
        <v>1</v>
      </c>
      <c r="D47" s="283" t="s">
        <v>1494</v>
      </c>
      <c r="E47" s="283" t="s">
        <v>1530</v>
      </c>
      <c r="F47" s="283" t="s">
        <v>155</v>
      </c>
      <c r="G47" s="283" t="s">
        <v>1495</v>
      </c>
      <c r="H47" s="283" t="s">
        <v>1496</v>
      </c>
      <c r="I47" s="283" t="s">
        <v>1497</v>
      </c>
      <c r="J47" s="283" t="s">
        <v>136</v>
      </c>
      <c r="K47" s="33" t="s">
        <v>234</v>
      </c>
      <c r="L47" s="175"/>
      <c r="M47" s="248" t="str">
        <f t="shared" si="9"/>
        <v>ELS005</v>
      </c>
      <c r="N47" s="349" t="s">
        <v>478</v>
      </c>
      <c r="O47" s="248" t="s">
        <v>1565</v>
      </c>
      <c r="P47" s="653">
        <v>19061887</v>
      </c>
      <c r="Q47" s="653">
        <f t="shared" si="4"/>
        <v>-2976373</v>
      </c>
      <c r="R47" s="653">
        <v>16085514</v>
      </c>
      <c r="S47" s="653">
        <v>-19262916.2121071</v>
      </c>
      <c r="T47" s="653"/>
      <c r="U47" s="653">
        <v>-20823212.425287701</v>
      </c>
      <c r="V47" s="654">
        <v>-21910184.113887701</v>
      </c>
      <c r="W47" s="654">
        <f t="shared" si="10"/>
        <v>-23224795.160720963</v>
      </c>
      <c r="X47" s="340" t="str">
        <f t="shared" si="11"/>
        <v>Exchange Revenue:  Service Charges - Electricity:  Sales - Domestic High:  Home power Bulk ELS005</v>
      </c>
      <c r="Y47" s="188"/>
    </row>
    <row r="48" spans="1:25" ht="16.5" customHeight="1" outlineLevel="3" x14ac:dyDescent="0.35">
      <c r="A48" s="174">
        <v>0</v>
      </c>
      <c r="B48" s="34">
        <v>0</v>
      </c>
      <c r="C48" s="36">
        <v>1</v>
      </c>
      <c r="D48" s="283" t="s">
        <v>1494</v>
      </c>
      <c r="E48" s="283" t="s">
        <v>1530</v>
      </c>
      <c r="F48" s="283" t="s">
        <v>145</v>
      </c>
      <c r="G48" s="283" t="s">
        <v>1495</v>
      </c>
      <c r="H48" s="283" t="s">
        <v>1496</v>
      </c>
      <c r="I48" s="283" t="s">
        <v>1497</v>
      </c>
      <c r="J48" s="283" t="s">
        <v>136</v>
      </c>
      <c r="K48" s="33" t="s">
        <v>234</v>
      </c>
      <c r="L48" s="175"/>
      <c r="M48" s="248" t="str">
        <f t="shared" si="9"/>
        <v>ELO005</v>
      </c>
      <c r="N48" s="349" t="s">
        <v>478</v>
      </c>
      <c r="O48" s="248" t="s">
        <v>1566</v>
      </c>
      <c r="P48" s="653">
        <v>14655545</v>
      </c>
      <c r="Q48" s="653">
        <f t="shared" si="4"/>
        <v>-1442999</v>
      </c>
      <c r="R48" s="653">
        <v>13212546</v>
      </c>
      <c r="S48" s="653">
        <v>-15632184.908232599</v>
      </c>
      <c r="T48" s="653"/>
      <c r="U48" s="653">
        <v>-16898391.885799401</v>
      </c>
      <c r="V48" s="654">
        <v>-17780487.9422382</v>
      </c>
      <c r="W48" s="654">
        <f t="shared" si="10"/>
        <v>-18847317.218772493</v>
      </c>
      <c r="X48" s="340" t="str">
        <f t="shared" si="11"/>
        <v>Exchange Revenue:  Service Charges - Electricity:  Sales - Domestic High:  Home power Bulk ELO005</v>
      </c>
      <c r="Y48" s="188"/>
    </row>
    <row r="49" spans="1:25" ht="16.5" customHeight="1" outlineLevel="3" x14ac:dyDescent="0.35">
      <c r="A49" s="174">
        <v>0</v>
      </c>
      <c r="B49" s="34">
        <v>0</v>
      </c>
      <c r="C49" s="36">
        <v>1</v>
      </c>
      <c r="D49" s="283" t="s">
        <v>1494</v>
      </c>
      <c r="E49" s="283" t="s">
        <v>1530</v>
      </c>
      <c r="F49" s="283" t="s">
        <v>146</v>
      </c>
      <c r="G49" s="283" t="s">
        <v>1495</v>
      </c>
      <c r="H49" s="283" t="s">
        <v>1496</v>
      </c>
      <c r="I49" s="283" t="s">
        <v>1497</v>
      </c>
      <c r="J49" s="283" t="s">
        <v>136</v>
      </c>
      <c r="K49" s="33" t="s">
        <v>234</v>
      </c>
      <c r="L49" s="175"/>
      <c r="M49" s="245" t="str">
        <f t="shared" si="9"/>
        <v>ELHP05</v>
      </c>
      <c r="N49" s="634" t="s">
        <v>478</v>
      </c>
      <c r="O49" s="245" t="s">
        <v>1508</v>
      </c>
      <c r="P49" s="653">
        <v>7424556</v>
      </c>
      <c r="Q49" s="653">
        <f t="shared" si="4"/>
        <v>-1320226</v>
      </c>
      <c r="R49" s="653">
        <v>6104330</v>
      </c>
      <c r="S49" s="653">
        <v>-6675918.9773736596</v>
      </c>
      <c r="T49" s="653"/>
      <c r="U49" s="653">
        <v>-7216668.4145409297</v>
      </c>
      <c r="V49" s="654">
        <v>-7593378.5057799602</v>
      </c>
      <c r="W49" s="654">
        <f t="shared" si="10"/>
        <v>-8048981.2161267586</v>
      </c>
      <c r="X49" s="340" t="str">
        <f t="shared" si="11"/>
        <v>Exchange Revenue:  Service Charges - Electricity:  Sales - Domestic High:  Home power Bulk ELHP05</v>
      </c>
      <c r="Y49" s="188"/>
    </row>
    <row r="50" spans="1:25" ht="16.5" customHeight="1" outlineLevel="3" x14ac:dyDescent="0.35">
      <c r="A50" s="174">
        <v>0</v>
      </c>
      <c r="B50" s="34">
        <v>0</v>
      </c>
      <c r="C50" s="36">
        <v>1</v>
      </c>
      <c r="D50" s="283" t="s">
        <v>1494</v>
      </c>
      <c r="E50" s="283" t="s">
        <v>1530</v>
      </c>
      <c r="F50" s="283" t="s">
        <v>147</v>
      </c>
      <c r="G50" s="283" t="s">
        <v>1495</v>
      </c>
      <c r="H50" s="283" t="s">
        <v>1496</v>
      </c>
      <c r="I50" s="283" t="s">
        <v>1497</v>
      </c>
      <c r="J50" s="283" t="s">
        <v>136</v>
      </c>
      <c r="K50" s="33" t="s">
        <v>234</v>
      </c>
      <c r="L50" s="175"/>
      <c r="M50" s="245" t="str">
        <f t="shared" si="9"/>
        <v>ELHS05</v>
      </c>
      <c r="N50" s="349" t="s">
        <v>478</v>
      </c>
      <c r="O50" s="245" t="s">
        <v>1567</v>
      </c>
      <c r="P50" s="653">
        <v>13569779</v>
      </c>
      <c r="Q50" s="653">
        <f t="shared" si="4"/>
        <v>-3211416</v>
      </c>
      <c r="R50" s="653">
        <v>10358363</v>
      </c>
      <c r="S50" s="653">
        <v>-11189810.4713278</v>
      </c>
      <c r="T50" s="653"/>
      <c r="U50" s="653">
        <v>-12096185.1195054</v>
      </c>
      <c r="V50" s="654">
        <v>-12727605.9827435</v>
      </c>
      <c r="W50" s="654">
        <f t="shared" si="10"/>
        <v>-13491262.341708111</v>
      </c>
      <c r="X50" s="340" t="str">
        <f t="shared" si="11"/>
        <v>Exchange Revenue:  Service Charges - Electricity:  Sales - Domestic High:  Home power Bulk ELHS05</v>
      </c>
      <c r="Y50" s="188"/>
    </row>
    <row r="51" spans="1:25" ht="16.5" customHeight="1" outlineLevel="3" x14ac:dyDescent="0.35">
      <c r="A51" s="174">
        <v>0</v>
      </c>
      <c r="B51" s="34">
        <v>0</v>
      </c>
      <c r="C51" s="36">
        <v>1</v>
      </c>
      <c r="D51" s="283" t="s">
        <v>1494</v>
      </c>
      <c r="E51" s="283" t="s">
        <v>1530</v>
      </c>
      <c r="F51" s="283" t="s">
        <v>148</v>
      </c>
      <c r="G51" s="283" t="s">
        <v>1495</v>
      </c>
      <c r="H51" s="283" t="s">
        <v>1496</v>
      </c>
      <c r="I51" s="283" t="s">
        <v>1497</v>
      </c>
      <c r="J51" s="283" t="s">
        <v>136</v>
      </c>
      <c r="K51" s="33" t="s">
        <v>234</v>
      </c>
      <c r="L51" s="175"/>
      <c r="M51" s="245" t="str">
        <f t="shared" si="9"/>
        <v>ELH005</v>
      </c>
      <c r="N51" s="349" t="s">
        <v>478</v>
      </c>
      <c r="O51" s="245" t="s">
        <v>1509</v>
      </c>
      <c r="P51" s="653">
        <v>9289917</v>
      </c>
      <c r="Q51" s="653">
        <f t="shared" si="4"/>
        <v>-1304038</v>
      </c>
      <c r="R51" s="653">
        <v>7985879</v>
      </c>
      <c r="S51" s="653">
        <v>-8409172.2561933491</v>
      </c>
      <c r="T51" s="653"/>
      <c r="U51" s="653">
        <v>-9090315.2089450099</v>
      </c>
      <c r="V51" s="654">
        <v>-9564829.6628519408</v>
      </c>
      <c r="W51" s="654">
        <f t="shared" si="10"/>
        <v>-10138719.442623058</v>
      </c>
      <c r="X51" s="340" t="str">
        <f t="shared" si="11"/>
        <v>Exchange Revenue:  Service Charges - Electricity:  Sales - Domestic High:  Home power Bulk ELH005</v>
      </c>
      <c r="Y51" s="188"/>
    </row>
    <row r="52" spans="1:25" ht="16.5" customHeight="1" outlineLevel="3" x14ac:dyDescent="0.35">
      <c r="A52" s="174">
        <v>0</v>
      </c>
      <c r="B52" s="34">
        <v>0</v>
      </c>
      <c r="C52" s="36">
        <v>1</v>
      </c>
      <c r="D52" s="283" t="s">
        <v>1494</v>
      </c>
      <c r="E52" s="283" t="s">
        <v>1530</v>
      </c>
      <c r="F52" s="283" t="s">
        <v>149</v>
      </c>
      <c r="G52" s="283" t="s">
        <v>1495</v>
      </c>
      <c r="H52" s="283" t="s">
        <v>1496</v>
      </c>
      <c r="I52" s="283" t="s">
        <v>1497</v>
      </c>
      <c r="J52" s="283" t="s">
        <v>136</v>
      </c>
      <c r="K52" s="33" t="s">
        <v>234</v>
      </c>
      <c r="L52" s="175"/>
      <c r="M52" s="248" t="str">
        <f t="shared" si="9"/>
        <v>ACC005</v>
      </c>
      <c r="N52" s="349" t="s">
        <v>478</v>
      </c>
      <c r="O52" s="248" t="s">
        <v>1568</v>
      </c>
      <c r="P52" s="653">
        <v>5903581</v>
      </c>
      <c r="Q52" s="653">
        <f t="shared" si="4"/>
        <v>505858</v>
      </c>
      <c r="R52" s="653">
        <v>6409439</v>
      </c>
      <c r="S52" s="653">
        <v>-7241277.0512849996</v>
      </c>
      <c r="T52" s="653"/>
      <c r="U52" s="653">
        <v>-7827820.4924390903</v>
      </c>
      <c r="V52" s="654">
        <v>-8236432.72214441</v>
      </c>
      <c r="W52" s="654">
        <f t="shared" si="10"/>
        <v>-8730618.6854730751</v>
      </c>
      <c r="X52" s="340" t="str">
        <f t="shared" si="11"/>
        <v>Exchange Revenue:  Service Charges - Electricity:  Sales - Domestic High:  Home power Bulk ACC005</v>
      </c>
      <c r="Y52" s="188"/>
    </row>
    <row r="53" spans="1:25" ht="16.5" customHeight="1" outlineLevel="3" x14ac:dyDescent="0.35">
      <c r="A53" s="174">
        <v>0</v>
      </c>
      <c r="B53" s="34">
        <v>0</v>
      </c>
      <c r="C53" s="36">
        <v>1</v>
      </c>
      <c r="D53" s="283" t="s">
        <v>1494</v>
      </c>
      <c r="E53" s="283" t="s">
        <v>1530</v>
      </c>
      <c r="F53" s="283" t="s">
        <v>150</v>
      </c>
      <c r="G53" s="283" t="s">
        <v>1495</v>
      </c>
      <c r="H53" s="283" t="s">
        <v>1496</v>
      </c>
      <c r="I53" s="283" t="s">
        <v>1497</v>
      </c>
      <c r="J53" s="283" t="s">
        <v>136</v>
      </c>
      <c r="K53" s="33" t="s">
        <v>234</v>
      </c>
      <c r="L53" s="175"/>
      <c r="M53" s="248" t="str">
        <f t="shared" si="9"/>
        <v>ELK005</v>
      </c>
      <c r="N53" s="349" t="s">
        <v>478</v>
      </c>
      <c r="O53" s="248" t="s">
        <v>1511</v>
      </c>
      <c r="P53" s="653">
        <v>2299296</v>
      </c>
      <c r="Q53" s="653">
        <f t="shared" si="4"/>
        <v>-124219</v>
      </c>
      <c r="R53" s="653">
        <v>2175077</v>
      </c>
      <c r="S53" s="653">
        <v>-2320631.6060531</v>
      </c>
      <c r="T53" s="653"/>
      <c r="U53" s="653">
        <v>-2508602.7661434002</v>
      </c>
      <c r="V53" s="654">
        <v>-2639551.8305360898</v>
      </c>
      <c r="W53" s="654">
        <f t="shared" si="10"/>
        <v>-2797924.9403682556</v>
      </c>
      <c r="X53" s="340" t="str">
        <f t="shared" si="11"/>
        <v>Exchange Revenue:  Service Charges - Electricity:  Sales - Domestic High:  Home power Bulk ELK005</v>
      </c>
      <c r="Y53" s="188"/>
    </row>
    <row r="54" spans="1:25" s="39" customFormat="1" ht="16.5" customHeight="1" outlineLevel="3" x14ac:dyDescent="0.35">
      <c r="A54" s="174">
        <v>0</v>
      </c>
      <c r="B54" s="34">
        <v>0</v>
      </c>
      <c r="C54" s="36">
        <v>1</v>
      </c>
      <c r="D54" s="283" t="s">
        <v>1494</v>
      </c>
      <c r="E54" s="283" t="s">
        <v>222</v>
      </c>
      <c r="F54" s="283" t="s">
        <v>553</v>
      </c>
      <c r="G54" s="283" t="s">
        <v>1495</v>
      </c>
      <c r="H54" s="283" t="s">
        <v>1496</v>
      </c>
      <c r="I54" s="283" t="s">
        <v>1497</v>
      </c>
      <c r="J54" s="283" t="s">
        <v>136</v>
      </c>
      <c r="K54" s="33" t="s">
        <v>234</v>
      </c>
      <c r="L54" s="173"/>
      <c r="M54" s="248"/>
      <c r="N54" s="314"/>
      <c r="O54" s="260" t="s">
        <v>1538</v>
      </c>
      <c r="P54" s="653"/>
      <c r="Q54" s="653"/>
      <c r="R54" s="653"/>
      <c r="S54" s="653"/>
      <c r="T54" s="653"/>
      <c r="U54" s="653"/>
      <c r="V54" s="653"/>
      <c r="W54" s="653"/>
      <c r="X54" s="335"/>
      <c r="Y54" s="241"/>
    </row>
    <row r="55" spans="1:25" ht="16.5" customHeight="1" outlineLevel="3" x14ac:dyDescent="0.35">
      <c r="A55" s="174">
        <v>0</v>
      </c>
      <c r="B55" s="34">
        <v>0</v>
      </c>
      <c r="C55" s="36">
        <v>1</v>
      </c>
      <c r="D55" s="283" t="s">
        <v>1494</v>
      </c>
      <c r="E55" s="283" t="s">
        <v>222</v>
      </c>
      <c r="F55" s="283" t="s">
        <v>144</v>
      </c>
      <c r="G55" s="283" t="s">
        <v>1495</v>
      </c>
      <c r="H55" s="283" t="s">
        <v>1496</v>
      </c>
      <c r="I55" s="283" t="s">
        <v>1497</v>
      </c>
      <c r="J55" s="283" t="s">
        <v>136</v>
      </c>
      <c r="K55" s="33" t="s">
        <v>234</v>
      </c>
      <c r="L55" s="175"/>
      <c r="M55" s="248" t="str">
        <f>RIGHT(O55,6)</f>
        <v>ELSM05</v>
      </c>
      <c r="N55" s="634" t="s">
        <v>478</v>
      </c>
      <c r="O55" s="248" t="s">
        <v>1569</v>
      </c>
      <c r="P55" s="653">
        <v>64776876</v>
      </c>
      <c r="Q55" s="653">
        <f t="shared" si="4"/>
        <v>-10617249</v>
      </c>
      <c r="R55" s="653">
        <v>54159627</v>
      </c>
      <c r="S55" s="653">
        <v>-58103289.069431402</v>
      </c>
      <c r="T55" s="653"/>
      <c r="U55" s="653">
        <v>-62809655.484055303</v>
      </c>
      <c r="V55" s="654">
        <v>-66088319.500322998</v>
      </c>
      <c r="W55" s="654">
        <f>V55*(1+$W$2)</f>
        <v>-70053618.670342386</v>
      </c>
      <c r="X55" s="336" t="str">
        <f>CONCATENATE($X$12,N55,M55)</f>
        <v>Exchange Revenue:  Service Charges - Electricity:  Sales - Commercial Conventional (Single Phase) ELSM05</v>
      </c>
      <c r="Y55" s="186"/>
    </row>
    <row r="56" spans="1:25" ht="16.5" customHeight="1" outlineLevel="3" x14ac:dyDescent="0.35">
      <c r="A56" s="174">
        <v>0</v>
      </c>
      <c r="B56" s="34">
        <v>0</v>
      </c>
      <c r="C56" s="36">
        <v>1</v>
      </c>
      <c r="D56" s="283" t="s">
        <v>1494</v>
      </c>
      <c r="E56" s="283" t="s">
        <v>222</v>
      </c>
      <c r="F56" s="283" t="s">
        <v>155</v>
      </c>
      <c r="G56" s="283" t="s">
        <v>1495</v>
      </c>
      <c r="H56" s="283" t="s">
        <v>1496</v>
      </c>
      <c r="I56" s="283" t="s">
        <v>1497</v>
      </c>
      <c r="J56" s="283" t="s">
        <v>136</v>
      </c>
      <c r="K56" s="33" t="s">
        <v>234</v>
      </c>
      <c r="L56" s="175"/>
      <c r="M56" s="248" t="str">
        <f>RIGHT(O56,6)</f>
        <v>EL0005</v>
      </c>
      <c r="N56" s="634" t="s">
        <v>478</v>
      </c>
      <c r="O56" s="248" t="s">
        <v>1570</v>
      </c>
      <c r="P56" s="653">
        <v>25488082</v>
      </c>
      <c r="Q56" s="653">
        <f t="shared" si="4"/>
        <v>-4756400</v>
      </c>
      <c r="R56" s="653">
        <v>20731682</v>
      </c>
      <c r="S56" s="654">
        <v>-23470301.7817888</v>
      </c>
      <c r="T56" s="654"/>
      <c r="U56" s="654">
        <v>-25371396.226113699</v>
      </c>
      <c r="V56" s="654">
        <v>-26695783.109116901</v>
      </c>
      <c r="W56" s="654">
        <f>V56*(1+$W$2)</f>
        <v>-28297530.095663916</v>
      </c>
      <c r="X56" s="336" t="str">
        <f>CONCATENATE($X$12,N56,M56)</f>
        <v>Exchange Revenue:  Service Charges - Electricity:  Sales - Commercial Conventional (Single Phase) EL0005</v>
      </c>
      <c r="Y56" s="186" t="s">
        <v>238</v>
      </c>
    </row>
    <row r="57" spans="1:25" s="39" customFormat="1" ht="16.5" customHeight="1" outlineLevel="3" x14ac:dyDescent="0.35">
      <c r="A57" s="174">
        <v>0</v>
      </c>
      <c r="B57" s="34">
        <v>0</v>
      </c>
      <c r="C57" s="36">
        <v>1</v>
      </c>
      <c r="D57" s="283" t="s">
        <v>1494</v>
      </c>
      <c r="E57" s="283" t="s">
        <v>223</v>
      </c>
      <c r="F57" s="283" t="s">
        <v>553</v>
      </c>
      <c r="G57" s="283" t="s">
        <v>1495</v>
      </c>
      <c r="H57" s="283" t="s">
        <v>1496</v>
      </c>
      <c r="I57" s="283" t="s">
        <v>1497</v>
      </c>
      <c r="J57" s="283" t="s">
        <v>136</v>
      </c>
      <c r="K57" s="33" t="s">
        <v>234</v>
      </c>
      <c r="L57" s="173"/>
      <c r="M57" s="248"/>
      <c r="N57" s="314"/>
      <c r="O57" s="260" t="s">
        <v>1539</v>
      </c>
      <c r="P57" s="653"/>
      <c r="Q57" s="653"/>
      <c r="R57" s="653"/>
      <c r="S57" s="662"/>
      <c r="T57" s="662"/>
      <c r="U57" s="662"/>
      <c r="V57" s="662"/>
      <c r="W57" s="653"/>
      <c r="X57" s="335"/>
      <c r="Y57" s="241"/>
    </row>
    <row r="58" spans="1:25" ht="16.5" customHeight="1" outlineLevel="3" x14ac:dyDescent="0.35">
      <c r="A58" s="174">
        <v>0</v>
      </c>
      <c r="B58" s="34">
        <v>0</v>
      </c>
      <c r="C58" s="36">
        <v>1</v>
      </c>
      <c r="D58" s="283" t="s">
        <v>1494</v>
      </c>
      <c r="E58" s="283" t="s">
        <v>223</v>
      </c>
      <c r="F58" s="283" t="s">
        <v>144</v>
      </c>
      <c r="G58" s="283" t="s">
        <v>1495</v>
      </c>
      <c r="H58" s="283" t="s">
        <v>1496</v>
      </c>
      <c r="I58" s="283" t="s">
        <v>1497</v>
      </c>
      <c r="J58" s="283" t="s">
        <v>136</v>
      </c>
      <c r="K58" s="33" t="s">
        <v>234</v>
      </c>
      <c r="L58" s="175"/>
      <c r="M58" s="248" t="s">
        <v>1518</v>
      </c>
      <c r="N58" s="634" t="s">
        <v>478</v>
      </c>
      <c r="O58" s="248" t="s">
        <v>1616</v>
      </c>
      <c r="P58" s="653">
        <v>42733259</v>
      </c>
      <c r="Q58" s="653">
        <f t="shared" si="4"/>
        <v>9722528</v>
      </c>
      <c r="R58" s="653">
        <v>52455787</v>
      </c>
      <c r="S58" s="662">
        <v>-55818892.645483397</v>
      </c>
      <c r="T58" s="662"/>
      <c r="U58" s="662">
        <v>-60340222.949767597</v>
      </c>
      <c r="V58" s="662">
        <v>-63489982.587745503</v>
      </c>
      <c r="W58" s="654">
        <f>V58*(1+$W$2)</f>
        <v>-67299381.543010235</v>
      </c>
      <c r="X58" s="336" t="str">
        <f>CONCATENATE($X$70,N58,M58)</f>
        <v>Exchange Revenue:  Service Charges - Electricity:  Sales - Commercial Conventional (3-Phase) PP</v>
      </c>
      <c r="Y58" s="186"/>
    </row>
    <row r="59" spans="1:25" ht="16.5" customHeight="1" outlineLevel="3" x14ac:dyDescent="0.35">
      <c r="A59" s="174">
        <v>0</v>
      </c>
      <c r="B59" s="34">
        <v>0</v>
      </c>
      <c r="C59" s="36">
        <v>1</v>
      </c>
      <c r="D59" s="283" t="s">
        <v>1494</v>
      </c>
      <c r="E59" s="283" t="s">
        <v>223</v>
      </c>
      <c r="F59" s="283" t="s">
        <v>155</v>
      </c>
      <c r="G59" s="283" t="s">
        <v>1495</v>
      </c>
      <c r="H59" s="283" t="s">
        <v>1496</v>
      </c>
      <c r="I59" s="283" t="s">
        <v>1497</v>
      </c>
      <c r="J59" s="283" t="s">
        <v>136</v>
      </c>
      <c r="K59" s="33" t="s">
        <v>234</v>
      </c>
      <c r="L59" s="175"/>
      <c r="M59" s="248" t="s">
        <v>1518</v>
      </c>
      <c r="N59" s="634" t="s">
        <v>478</v>
      </c>
      <c r="O59" s="248" t="s">
        <v>1617</v>
      </c>
      <c r="P59" s="653">
        <v>17608239</v>
      </c>
      <c r="Q59" s="653">
        <f t="shared" si="4"/>
        <v>1298592</v>
      </c>
      <c r="R59" s="653">
        <v>18906831</v>
      </c>
      <c r="S59" s="662">
        <v>-21178667.134472299</v>
      </c>
      <c r="T59" s="662"/>
      <c r="U59" s="662">
        <v>-22894139.1723646</v>
      </c>
      <c r="V59" s="662">
        <v>-24089213.237162001</v>
      </c>
      <c r="W59" s="654">
        <f>V59*(1+$W$2)</f>
        <v>-25534566.031391721</v>
      </c>
      <c r="X59" s="336" t="str">
        <f>CONCATENATE($X$70,N59,M59)</f>
        <v>Exchange Revenue:  Service Charges - Electricity:  Sales - Commercial Conventional (3-Phase) PP</v>
      </c>
      <c r="Y59" s="186"/>
    </row>
    <row r="60" spans="1:25" s="39" customFormat="1" ht="16.5" customHeight="1" outlineLevel="3" x14ac:dyDescent="0.35">
      <c r="A60" s="174">
        <v>0</v>
      </c>
      <c r="B60" s="34">
        <v>0</v>
      </c>
      <c r="C60" s="36">
        <v>1</v>
      </c>
      <c r="D60" s="283" t="s">
        <v>1494</v>
      </c>
      <c r="E60" s="283" t="s">
        <v>224</v>
      </c>
      <c r="F60" s="283" t="s">
        <v>553</v>
      </c>
      <c r="G60" s="283" t="s">
        <v>1495</v>
      </c>
      <c r="H60" s="283" t="s">
        <v>1496</v>
      </c>
      <c r="I60" s="283" t="s">
        <v>1497</v>
      </c>
      <c r="J60" s="283" t="s">
        <v>136</v>
      </c>
      <c r="K60" s="33" t="s">
        <v>234</v>
      </c>
      <c r="L60" s="173"/>
      <c r="M60" s="248"/>
      <c r="N60" s="314"/>
      <c r="O60" s="260" t="s">
        <v>1540</v>
      </c>
      <c r="P60" s="653"/>
      <c r="Q60" s="653"/>
      <c r="R60" s="653"/>
      <c r="S60" s="662"/>
      <c r="T60" s="662"/>
      <c r="U60" s="662"/>
      <c r="V60" s="662"/>
      <c r="W60" s="653"/>
      <c r="X60" s="335"/>
      <c r="Y60" s="241"/>
    </row>
    <row r="61" spans="1:25" ht="16.5" customHeight="1" outlineLevel="3" x14ac:dyDescent="0.35">
      <c r="A61" s="174">
        <v>0</v>
      </c>
      <c r="B61" s="34">
        <v>0</v>
      </c>
      <c r="C61" s="36">
        <v>1</v>
      </c>
      <c r="D61" s="283" t="s">
        <v>1494</v>
      </c>
      <c r="E61" s="283" t="s">
        <v>224</v>
      </c>
      <c r="F61" s="283" t="s">
        <v>144</v>
      </c>
      <c r="G61" s="283" t="s">
        <v>1495</v>
      </c>
      <c r="H61" s="283" t="s">
        <v>1496</v>
      </c>
      <c r="I61" s="283" t="s">
        <v>1497</v>
      </c>
      <c r="J61" s="283" t="s">
        <v>136</v>
      </c>
      <c r="K61" s="33" t="s">
        <v>234</v>
      </c>
      <c r="L61" s="175"/>
      <c r="M61" s="248" t="str">
        <f t="shared" ref="M61:M67" si="12">RIGHT(O61,6)</f>
        <v>E1CLDP</v>
      </c>
      <c r="N61" s="634" t="s">
        <v>478</v>
      </c>
      <c r="O61" s="248" t="s">
        <v>1571</v>
      </c>
      <c r="P61" s="653">
        <v>15181</v>
      </c>
      <c r="Q61" s="653">
        <f t="shared" si="4"/>
        <v>15988</v>
      </c>
      <c r="R61" s="653">
        <v>31169</v>
      </c>
      <c r="S61" s="662">
        <v>-38986.068025884</v>
      </c>
      <c r="T61" s="662"/>
      <c r="U61" s="662">
        <v>-42143.9395359806</v>
      </c>
      <c r="V61" s="662">
        <v>-44343.8531797588</v>
      </c>
      <c r="W61" s="654">
        <f t="shared" ref="W61:W67" si="13">V61*(1+$W$2)</f>
        <v>-47004.484370544327</v>
      </c>
      <c r="X61" s="336" t="str">
        <f t="shared" ref="X61:X67" si="14">CONCATENATE($X$12,N61,M61)</f>
        <v>Exchange Revenue:  Service Charges - Electricity:  Sales - Commercial Conventional (Single Phase) E1CLDP</v>
      </c>
      <c r="Y61" s="186"/>
    </row>
    <row r="62" spans="1:25" ht="16.5" customHeight="1" outlineLevel="3" x14ac:dyDescent="0.35">
      <c r="A62" s="174">
        <v>0</v>
      </c>
      <c r="B62" s="34">
        <v>0</v>
      </c>
      <c r="C62" s="36">
        <v>1</v>
      </c>
      <c r="D62" s="283" t="s">
        <v>1494</v>
      </c>
      <c r="E62" s="283" t="s">
        <v>224</v>
      </c>
      <c r="F62" s="283" t="s">
        <v>155</v>
      </c>
      <c r="G62" s="283" t="s">
        <v>1495</v>
      </c>
      <c r="H62" s="283" t="s">
        <v>1496</v>
      </c>
      <c r="I62" s="283" t="s">
        <v>1497</v>
      </c>
      <c r="J62" s="283" t="s">
        <v>136</v>
      </c>
      <c r="K62" s="33" t="s">
        <v>234</v>
      </c>
      <c r="L62" s="175"/>
      <c r="M62" s="248" t="str">
        <f t="shared" si="12"/>
        <v>E1CLDS</v>
      </c>
      <c r="N62" s="634" t="s">
        <v>478</v>
      </c>
      <c r="O62" s="248" t="s">
        <v>1572</v>
      </c>
      <c r="P62" s="653">
        <v>21306</v>
      </c>
      <c r="Q62" s="653">
        <f t="shared" si="4"/>
        <v>21926</v>
      </c>
      <c r="R62" s="653">
        <v>43232</v>
      </c>
      <c r="S62" s="662">
        <v>-55330.507216356003</v>
      </c>
      <c r="T62" s="662"/>
      <c r="U62" s="662">
        <v>-59812.278300880796</v>
      </c>
      <c r="V62" s="662">
        <v>-62934.479228186799</v>
      </c>
      <c r="W62" s="654">
        <f t="shared" si="13"/>
        <v>-66710.547981878015</v>
      </c>
      <c r="X62" s="336" t="str">
        <f t="shared" si="14"/>
        <v>Exchange Revenue:  Service Charges - Electricity:  Sales - Commercial Conventional (Single Phase) E1CLDS</v>
      </c>
      <c r="Y62" s="186"/>
    </row>
    <row r="63" spans="1:25" ht="16.5" customHeight="1" outlineLevel="3" x14ac:dyDescent="0.35">
      <c r="A63" s="174">
        <v>0</v>
      </c>
      <c r="B63" s="34">
        <v>0</v>
      </c>
      <c r="C63" s="36">
        <v>1</v>
      </c>
      <c r="D63" s="283" t="s">
        <v>1494</v>
      </c>
      <c r="E63" s="283" t="s">
        <v>224</v>
      </c>
      <c r="F63" s="283" t="s">
        <v>145</v>
      </c>
      <c r="G63" s="283" t="s">
        <v>1495</v>
      </c>
      <c r="H63" s="283" t="s">
        <v>1496</v>
      </c>
      <c r="I63" s="283" t="s">
        <v>1497</v>
      </c>
      <c r="J63" s="283" t="s">
        <v>136</v>
      </c>
      <c r="K63" s="33" t="s">
        <v>234</v>
      </c>
      <c r="L63" s="175"/>
      <c r="M63" s="248" t="str">
        <f t="shared" si="12"/>
        <v>E1CLDO</v>
      </c>
      <c r="N63" s="634" t="s">
        <v>478</v>
      </c>
      <c r="O63" s="248" t="s">
        <v>1573</v>
      </c>
      <c r="P63" s="653">
        <v>24786</v>
      </c>
      <c r="Q63" s="653">
        <f t="shared" si="4"/>
        <v>33942</v>
      </c>
      <c r="R63" s="653">
        <v>58728</v>
      </c>
      <c r="S63" s="662">
        <v>-46453.198693473001</v>
      </c>
      <c r="T63" s="662"/>
      <c r="U63" s="662">
        <v>-50215.907787644297</v>
      </c>
      <c r="V63" s="662">
        <v>-52837.1781741593</v>
      </c>
      <c r="W63" s="654">
        <f t="shared" si="13"/>
        <v>-56007.408864608864</v>
      </c>
      <c r="X63" s="336" t="str">
        <f t="shared" si="14"/>
        <v>Exchange Revenue:  Service Charges - Electricity:  Sales - Commercial Conventional (Single Phase) E1CLDO</v>
      </c>
      <c r="Y63" s="186"/>
    </row>
    <row r="64" spans="1:25" ht="16.5" customHeight="1" outlineLevel="3" x14ac:dyDescent="0.35">
      <c r="A64" s="174">
        <v>0</v>
      </c>
      <c r="B64" s="34">
        <v>0</v>
      </c>
      <c r="C64" s="36">
        <v>1</v>
      </c>
      <c r="D64" s="283" t="s">
        <v>1494</v>
      </c>
      <c r="E64" s="283" t="s">
        <v>224</v>
      </c>
      <c r="F64" s="283" t="s">
        <v>146</v>
      </c>
      <c r="G64" s="283" t="s">
        <v>1495</v>
      </c>
      <c r="H64" s="283" t="s">
        <v>1496</v>
      </c>
      <c r="I64" s="283" t="s">
        <v>1497</v>
      </c>
      <c r="J64" s="283" t="s">
        <v>136</v>
      </c>
      <c r="K64" s="33" t="s">
        <v>234</v>
      </c>
      <c r="L64" s="175"/>
      <c r="M64" s="248" t="str">
        <f t="shared" si="12"/>
        <v>E1CHDP</v>
      </c>
      <c r="N64" s="634" t="s">
        <v>478</v>
      </c>
      <c r="O64" s="248" t="s">
        <v>1574</v>
      </c>
      <c r="P64" s="653">
        <v>9797</v>
      </c>
      <c r="Q64" s="653">
        <f t="shared" si="4"/>
        <v>8119</v>
      </c>
      <c r="R64" s="653">
        <v>17916</v>
      </c>
      <c r="S64" s="662">
        <v>-18982.888608707999</v>
      </c>
      <c r="T64" s="662"/>
      <c r="U64" s="662">
        <v>-20520.502586013299</v>
      </c>
      <c r="V64" s="662">
        <v>-21591.672821003202</v>
      </c>
      <c r="W64" s="654">
        <f t="shared" si="13"/>
        <v>-22887.173190263395</v>
      </c>
      <c r="X64" s="336" t="str">
        <f t="shared" si="14"/>
        <v>Exchange Revenue:  Service Charges - Electricity:  Sales - Commercial Conventional (Single Phase) E1CHDP</v>
      </c>
      <c r="Y64" s="186"/>
    </row>
    <row r="65" spans="1:25" ht="16.5" customHeight="1" outlineLevel="3" x14ac:dyDescent="0.35">
      <c r="A65" s="174">
        <v>0</v>
      </c>
      <c r="B65" s="34">
        <v>0</v>
      </c>
      <c r="C65" s="36">
        <v>1</v>
      </c>
      <c r="D65" s="283" t="s">
        <v>1494</v>
      </c>
      <c r="E65" s="283" t="s">
        <v>224</v>
      </c>
      <c r="F65" s="283" t="s">
        <v>147</v>
      </c>
      <c r="G65" s="283" t="s">
        <v>1495</v>
      </c>
      <c r="H65" s="283" t="s">
        <v>1496</v>
      </c>
      <c r="I65" s="283" t="s">
        <v>1497</v>
      </c>
      <c r="J65" s="283" t="s">
        <v>136</v>
      </c>
      <c r="K65" s="33" t="s">
        <v>234</v>
      </c>
      <c r="L65" s="175"/>
      <c r="M65" s="248" t="str">
        <f t="shared" si="12"/>
        <v>E1CHDS</v>
      </c>
      <c r="N65" s="634" t="s">
        <v>478</v>
      </c>
      <c r="O65" s="248" t="s">
        <v>1575</v>
      </c>
      <c r="P65" s="653">
        <v>13986</v>
      </c>
      <c r="Q65" s="653">
        <f t="shared" si="4"/>
        <v>13290</v>
      </c>
      <c r="R65" s="653">
        <v>27276</v>
      </c>
      <c r="S65" s="662">
        <v>-27721.188715292999</v>
      </c>
      <c r="T65" s="662"/>
      <c r="U65" s="662">
        <v>-29966.605001231699</v>
      </c>
      <c r="V65" s="662">
        <v>-31530.861782296</v>
      </c>
      <c r="W65" s="654">
        <f t="shared" si="13"/>
        <v>-33422.713489233764</v>
      </c>
      <c r="X65" s="336" t="str">
        <f t="shared" si="14"/>
        <v>Exchange Revenue:  Service Charges - Electricity:  Sales - Commercial Conventional (Single Phase) E1CHDS</v>
      </c>
      <c r="Y65" s="186" t="s">
        <v>237</v>
      </c>
    </row>
    <row r="66" spans="1:25" ht="16.5" customHeight="1" outlineLevel="3" x14ac:dyDescent="0.35">
      <c r="A66" s="174">
        <v>0</v>
      </c>
      <c r="B66" s="34">
        <v>0</v>
      </c>
      <c r="C66" s="36">
        <v>1</v>
      </c>
      <c r="D66" s="283" t="s">
        <v>1494</v>
      </c>
      <c r="E66" s="283" t="s">
        <v>224</v>
      </c>
      <c r="F66" s="283" t="s">
        <v>148</v>
      </c>
      <c r="G66" s="283" t="s">
        <v>1495</v>
      </c>
      <c r="H66" s="283" t="s">
        <v>1496</v>
      </c>
      <c r="I66" s="283" t="s">
        <v>1497</v>
      </c>
      <c r="J66" s="283" t="s">
        <v>136</v>
      </c>
      <c r="K66" s="33" t="s">
        <v>234</v>
      </c>
      <c r="L66" s="175"/>
      <c r="M66" s="248" t="str">
        <f t="shared" si="12"/>
        <v>E1CHDO</v>
      </c>
      <c r="N66" s="634" t="s">
        <v>478</v>
      </c>
      <c r="O66" s="248" t="s">
        <v>1576</v>
      </c>
      <c r="P66" s="653">
        <v>11463</v>
      </c>
      <c r="Q66" s="653">
        <f t="shared" si="4"/>
        <v>11065</v>
      </c>
      <c r="R66" s="653">
        <v>22528</v>
      </c>
      <c r="S66" s="662">
        <v>-23597.89601778</v>
      </c>
      <c r="T66" s="662"/>
      <c r="U66" s="662">
        <v>-25509.325595220202</v>
      </c>
      <c r="V66" s="662">
        <v>-26840.912391290702</v>
      </c>
      <c r="W66" s="654">
        <f t="shared" si="13"/>
        <v>-28451.367134768145</v>
      </c>
      <c r="X66" s="336" t="str">
        <f t="shared" si="14"/>
        <v>Exchange Revenue:  Service Charges - Electricity:  Sales - Commercial Conventional (Single Phase) E1CHDO</v>
      </c>
      <c r="Y66" s="186"/>
    </row>
    <row r="67" spans="1:25" ht="16.5" customHeight="1" outlineLevel="3" x14ac:dyDescent="0.35">
      <c r="A67" s="174">
        <v>0</v>
      </c>
      <c r="B67" s="34">
        <v>0</v>
      </c>
      <c r="C67" s="36">
        <v>1</v>
      </c>
      <c r="D67" s="283" t="s">
        <v>1494</v>
      </c>
      <c r="E67" s="283" t="s">
        <v>224</v>
      </c>
      <c r="F67" s="283" t="s">
        <v>149</v>
      </c>
      <c r="G67" s="283" t="s">
        <v>1495</v>
      </c>
      <c r="H67" s="283" t="s">
        <v>1496</v>
      </c>
      <c r="I67" s="283" t="s">
        <v>1497</v>
      </c>
      <c r="J67" s="283" t="s">
        <v>136</v>
      </c>
      <c r="K67" s="33" t="s">
        <v>234</v>
      </c>
      <c r="L67" s="175"/>
      <c r="M67" s="248" t="str">
        <f t="shared" si="12"/>
        <v>ELCEBC</v>
      </c>
      <c r="N67" s="634" t="s">
        <v>478</v>
      </c>
      <c r="O67" s="248" t="s">
        <v>1577</v>
      </c>
      <c r="P67" s="653">
        <v>13247</v>
      </c>
      <c r="Q67" s="653">
        <f t="shared" si="4"/>
        <v>15185</v>
      </c>
      <c r="R67" s="653">
        <v>28432</v>
      </c>
      <c r="S67" s="662">
        <v>-31448.837520000001</v>
      </c>
      <c r="T67" s="662"/>
      <c r="U67" s="662">
        <v>-33996.19335912</v>
      </c>
      <c r="V67" s="662">
        <v>-35770.794652466102</v>
      </c>
      <c r="W67" s="654">
        <f t="shared" si="13"/>
        <v>-37917.042331614073</v>
      </c>
      <c r="X67" s="336" t="str">
        <f t="shared" si="14"/>
        <v>Exchange Revenue:  Service Charges - Electricity:  Sales - Commercial Conventional (Single Phase) ELCEBC</v>
      </c>
      <c r="Y67" s="186"/>
    </row>
    <row r="68" spans="1:25" s="39" customFormat="1" ht="16.5" customHeight="1" outlineLevel="3" x14ac:dyDescent="0.35">
      <c r="A68" s="174">
        <v>0</v>
      </c>
      <c r="B68" s="34">
        <v>0</v>
      </c>
      <c r="C68" s="36">
        <v>1</v>
      </c>
      <c r="D68" s="283" t="s">
        <v>1494</v>
      </c>
      <c r="E68" s="283" t="s">
        <v>225</v>
      </c>
      <c r="F68" s="283" t="s">
        <v>553</v>
      </c>
      <c r="G68" s="283" t="s">
        <v>1495</v>
      </c>
      <c r="H68" s="283" t="s">
        <v>1496</v>
      </c>
      <c r="I68" s="283" t="s">
        <v>1497</v>
      </c>
      <c r="J68" s="283" t="s">
        <v>136</v>
      </c>
      <c r="K68" s="33" t="s">
        <v>234</v>
      </c>
      <c r="L68" s="173"/>
      <c r="M68" s="248"/>
      <c r="N68" s="314"/>
      <c r="O68" s="260" t="s">
        <v>1541</v>
      </c>
      <c r="P68" s="653"/>
      <c r="Q68" s="653"/>
      <c r="R68" s="653"/>
      <c r="S68" s="662"/>
      <c r="T68" s="662"/>
      <c r="U68" s="662"/>
      <c r="V68" s="662"/>
      <c r="W68" s="653"/>
      <c r="X68" s="335"/>
      <c r="Y68" s="241"/>
    </row>
    <row r="69" spans="1:25" ht="16.5" customHeight="1" outlineLevel="3" x14ac:dyDescent="0.35">
      <c r="A69" s="174">
        <v>0</v>
      </c>
      <c r="B69" s="34">
        <v>0</v>
      </c>
      <c r="C69" s="36">
        <v>1</v>
      </c>
      <c r="D69" s="283" t="s">
        <v>1494</v>
      </c>
      <c r="E69" s="283" t="s">
        <v>225</v>
      </c>
      <c r="F69" s="283" t="s">
        <v>144</v>
      </c>
      <c r="G69" s="283" t="s">
        <v>1495</v>
      </c>
      <c r="H69" s="283" t="s">
        <v>1496</v>
      </c>
      <c r="I69" s="283" t="s">
        <v>1497</v>
      </c>
      <c r="J69" s="283" t="s">
        <v>136</v>
      </c>
      <c r="K69" s="33" t="s">
        <v>234</v>
      </c>
      <c r="L69" s="175"/>
      <c r="M69" s="248" t="str">
        <f t="shared" ref="M69:M75" si="15">RIGHT(O69,6)</f>
        <v>ELCLDP</v>
      </c>
      <c r="N69" s="634"/>
      <c r="O69" s="248" t="s">
        <v>1613</v>
      </c>
      <c r="P69" s="653">
        <v>5509122</v>
      </c>
      <c r="Q69" s="653">
        <f t="shared" si="4"/>
        <v>4186096</v>
      </c>
      <c r="R69" s="653">
        <v>9695218</v>
      </c>
      <c r="S69" s="662">
        <v>-10997886.4448727</v>
      </c>
      <c r="T69" s="662"/>
      <c r="U69" s="662">
        <v>-11888715.246907299</v>
      </c>
      <c r="V69" s="662">
        <v>-12509306.182795901</v>
      </c>
      <c r="W69" s="654">
        <f t="shared" ref="W69:W75" si="16">V69*(1+$W$2)</f>
        <v>-13259864.553763656</v>
      </c>
      <c r="X69" s="336" t="str">
        <f>CONCATENATE($X$12,N69,M69)</f>
        <v>Exchange Revenue:  Service Charges - Electricity:  Sales - Commercial Conventional (Single Phase)ELCLDP</v>
      </c>
      <c r="Y69" s="186"/>
    </row>
    <row r="70" spans="1:25" s="39" customFormat="1" ht="16.5" customHeight="1" outlineLevel="3" x14ac:dyDescent="0.35">
      <c r="A70" s="169">
        <v>0</v>
      </c>
      <c r="B70" s="170">
        <v>0</v>
      </c>
      <c r="C70" s="171">
        <v>1</v>
      </c>
      <c r="D70" s="283" t="s">
        <v>1494</v>
      </c>
      <c r="E70" s="283" t="s">
        <v>225</v>
      </c>
      <c r="F70" s="283" t="s">
        <v>155</v>
      </c>
      <c r="G70" s="283" t="s">
        <v>1495</v>
      </c>
      <c r="H70" s="283" t="s">
        <v>1496</v>
      </c>
      <c r="I70" s="283" t="s">
        <v>1497</v>
      </c>
      <c r="J70" s="283" t="s">
        <v>136</v>
      </c>
      <c r="K70" s="636" t="s">
        <v>234</v>
      </c>
      <c r="L70" s="173"/>
      <c r="M70" t="str">
        <f t="shared" si="15"/>
        <v>ELCLDS</v>
      </c>
      <c r="N70" s="634" t="s">
        <v>478</v>
      </c>
      <c r="O70" t="s">
        <v>1614</v>
      </c>
      <c r="P70" s="653">
        <v>8162639</v>
      </c>
      <c r="Q70" s="653">
        <f t="shared" si="4"/>
        <v>6678499</v>
      </c>
      <c r="R70" s="653">
        <v>14841138</v>
      </c>
      <c r="S70" s="662">
        <v>-17210307.531196699</v>
      </c>
      <c r="T70" s="662"/>
      <c r="U70" s="662">
        <v>-18604342.4412237</v>
      </c>
      <c r="V70" s="662">
        <v>-19575489.116655599</v>
      </c>
      <c r="W70" s="654">
        <f t="shared" si="16"/>
        <v>-20750018.463654935</v>
      </c>
      <c r="X70" s="335" t="s">
        <v>31</v>
      </c>
      <c r="Y70" s="241" t="s">
        <v>1912</v>
      </c>
    </row>
    <row r="71" spans="1:25" ht="16.5" customHeight="1" outlineLevel="3" x14ac:dyDescent="0.35">
      <c r="A71" s="174">
        <v>0</v>
      </c>
      <c r="B71" s="34">
        <v>0</v>
      </c>
      <c r="C71" s="36">
        <v>1</v>
      </c>
      <c r="D71" s="283" t="s">
        <v>1494</v>
      </c>
      <c r="E71" s="283" t="s">
        <v>225</v>
      </c>
      <c r="F71" s="283" t="s">
        <v>145</v>
      </c>
      <c r="G71" s="283" t="s">
        <v>1495</v>
      </c>
      <c r="H71" s="283" t="s">
        <v>1496</v>
      </c>
      <c r="I71" s="283" t="s">
        <v>1497</v>
      </c>
      <c r="J71" s="283" t="s">
        <v>136</v>
      </c>
      <c r="K71" s="33" t="s">
        <v>234</v>
      </c>
      <c r="L71" s="175"/>
      <c r="M71" s="248" t="str">
        <f t="shared" si="15"/>
        <v>ELCLDO</v>
      </c>
      <c r="N71" s="634" t="s">
        <v>478</v>
      </c>
      <c r="O71" s="248" t="s">
        <v>1578</v>
      </c>
      <c r="P71" s="653">
        <v>6282739</v>
      </c>
      <c r="Q71" s="653">
        <f t="shared" si="4"/>
        <v>5442988</v>
      </c>
      <c r="R71" s="653">
        <v>11725727</v>
      </c>
      <c r="S71" s="662">
        <v>-13437835.7344715</v>
      </c>
      <c r="T71" s="662"/>
      <c r="U71" s="662">
        <v>-14526300.4289637</v>
      </c>
      <c r="V71" s="662">
        <v>-15284573.3113556</v>
      </c>
      <c r="W71" s="654">
        <f t="shared" si="16"/>
        <v>-16201647.710036937</v>
      </c>
      <c r="X71" s="336" t="str">
        <f>CONCATENATE($X$70,N71,M71)</f>
        <v>Exchange Revenue:  Service Charges - Electricity:  Sales - Commercial Conventional (3-Phase) ELCLDO</v>
      </c>
      <c r="Y71" s="186"/>
    </row>
    <row r="72" spans="1:25" ht="16.5" customHeight="1" outlineLevel="3" x14ac:dyDescent="0.35">
      <c r="A72" s="174">
        <v>0</v>
      </c>
      <c r="B72" s="34">
        <v>0</v>
      </c>
      <c r="C72" s="36">
        <v>1</v>
      </c>
      <c r="D72" s="283" t="s">
        <v>1494</v>
      </c>
      <c r="E72" s="283" t="s">
        <v>225</v>
      </c>
      <c r="F72" s="283" t="s">
        <v>146</v>
      </c>
      <c r="G72" s="283" t="s">
        <v>1495</v>
      </c>
      <c r="H72" s="283" t="s">
        <v>1496</v>
      </c>
      <c r="I72" s="283" t="s">
        <v>1497</v>
      </c>
      <c r="J72" s="283" t="s">
        <v>136</v>
      </c>
      <c r="K72" s="33" t="s">
        <v>234</v>
      </c>
      <c r="L72" s="175"/>
      <c r="M72" s="248" t="str">
        <f t="shared" si="15"/>
        <v>ELCHDP</v>
      </c>
      <c r="N72" s="634"/>
      <c r="O72" s="248" t="s">
        <v>1499</v>
      </c>
      <c r="P72" s="653">
        <v>1897188</v>
      </c>
      <c r="Q72" s="653">
        <f t="shared" si="4"/>
        <v>3012983</v>
      </c>
      <c r="R72" s="653">
        <v>4910171</v>
      </c>
      <c r="S72" s="662">
        <v>-5374147.8105955599</v>
      </c>
      <c r="T72" s="662"/>
      <c r="U72" s="662">
        <v>-5809453.7832538001</v>
      </c>
      <c r="V72" s="662">
        <v>-6112707.2707396504</v>
      </c>
      <c r="W72" s="654">
        <f t="shared" si="16"/>
        <v>-6479469.7069840301</v>
      </c>
      <c r="X72" s="336" t="str">
        <f>CONCATENATE($X$12,N72,M72)</f>
        <v>Exchange Revenue:  Service Charges - Electricity:  Sales - Commercial Conventional (Single Phase)ELCHDP</v>
      </c>
      <c r="Y72" s="186"/>
    </row>
    <row r="73" spans="1:25" ht="16.5" customHeight="1" outlineLevel="3" x14ac:dyDescent="0.35">
      <c r="A73" s="174">
        <v>0</v>
      </c>
      <c r="B73" s="34">
        <v>0</v>
      </c>
      <c r="C73" s="36">
        <v>1</v>
      </c>
      <c r="D73" s="283" t="s">
        <v>1494</v>
      </c>
      <c r="E73" s="283" t="s">
        <v>225</v>
      </c>
      <c r="F73" s="283" t="s">
        <v>147</v>
      </c>
      <c r="G73" s="283" t="s">
        <v>1495</v>
      </c>
      <c r="H73" s="283" t="s">
        <v>1496</v>
      </c>
      <c r="I73" s="283" t="s">
        <v>1497</v>
      </c>
      <c r="J73" s="283" t="s">
        <v>136</v>
      </c>
      <c r="K73" s="33" t="s">
        <v>234</v>
      </c>
      <c r="L73" s="175"/>
      <c r="M73" s="248" t="str">
        <f t="shared" si="15"/>
        <v>ELCHDS</v>
      </c>
      <c r="N73" s="634"/>
      <c r="O73" s="248" t="s">
        <v>1500</v>
      </c>
      <c r="P73" s="653">
        <v>2841095</v>
      </c>
      <c r="Q73" s="653">
        <f t="shared" si="4"/>
        <v>5106814</v>
      </c>
      <c r="R73" s="653">
        <v>7947909</v>
      </c>
      <c r="S73" s="662">
        <v>-8368386.89096897</v>
      </c>
      <c r="T73" s="662"/>
      <c r="U73" s="662">
        <v>-9046226.2291374598</v>
      </c>
      <c r="V73" s="662">
        <v>-9518439.2382984404</v>
      </c>
      <c r="W73" s="654">
        <f t="shared" si="16"/>
        <v>-10089545.592596347</v>
      </c>
      <c r="X73" s="336" t="str">
        <f>CONCATENATE($X$12,N73,M73)</f>
        <v>Exchange Revenue:  Service Charges - Electricity:  Sales - Commercial Conventional (Single Phase)ELCHDS</v>
      </c>
      <c r="Y73" s="186"/>
    </row>
    <row r="74" spans="1:25" ht="16.5" customHeight="1" outlineLevel="3" x14ac:dyDescent="0.35">
      <c r="A74" s="174">
        <v>0</v>
      </c>
      <c r="B74" s="34">
        <v>0</v>
      </c>
      <c r="C74" s="36">
        <v>1</v>
      </c>
      <c r="D74" s="283" t="s">
        <v>1494</v>
      </c>
      <c r="E74" s="283" t="s">
        <v>225</v>
      </c>
      <c r="F74" s="283" t="s">
        <v>148</v>
      </c>
      <c r="G74" s="283" t="s">
        <v>1495</v>
      </c>
      <c r="H74" s="283" t="s">
        <v>1496</v>
      </c>
      <c r="I74" s="283" t="s">
        <v>1497</v>
      </c>
      <c r="J74" s="283" t="s">
        <v>136</v>
      </c>
      <c r="K74" s="33" t="s">
        <v>234</v>
      </c>
      <c r="L74" s="175"/>
      <c r="M74" s="248" t="str">
        <f t="shared" si="15"/>
        <v>ELCHDO</v>
      </c>
      <c r="N74" s="634"/>
      <c r="O74" s="248" t="s">
        <v>1615</v>
      </c>
      <c r="P74" s="653">
        <v>1720538</v>
      </c>
      <c r="Q74" s="653">
        <f t="shared" si="4"/>
        <v>3076565</v>
      </c>
      <c r="R74" s="653">
        <v>4797103</v>
      </c>
      <c r="S74" s="662">
        <v>-5049029.4804480299</v>
      </c>
      <c r="T74" s="662"/>
      <c r="U74" s="662">
        <v>-5458000.8683643201</v>
      </c>
      <c r="V74" s="662">
        <v>-5742908.5136929397</v>
      </c>
      <c r="W74" s="654">
        <f t="shared" si="16"/>
        <v>-6087483.0245145159</v>
      </c>
      <c r="X74" s="336" t="str">
        <f>CONCATENATE($X$12,N74,M74)</f>
        <v>Exchange Revenue:  Service Charges - Electricity:  Sales - Commercial Conventional (Single Phase)ELCHDO</v>
      </c>
      <c r="Y74" s="186"/>
    </row>
    <row r="75" spans="1:25" ht="16.5" customHeight="1" outlineLevel="3" x14ac:dyDescent="0.35">
      <c r="A75" s="174">
        <v>0</v>
      </c>
      <c r="B75" s="34">
        <v>0</v>
      </c>
      <c r="C75" s="36">
        <v>1</v>
      </c>
      <c r="D75" s="283" t="s">
        <v>1494</v>
      </c>
      <c r="E75" s="283" t="s">
        <v>225</v>
      </c>
      <c r="F75" s="283" t="s">
        <v>149</v>
      </c>
      <c r="G75" s="283" t="s">
        <v>1495</v>
      </c>
      <c r="H75" s="283" t="s">
        <v>1496</v>
      </c>
      <c r="I75" s="283" t="s">
        <v>1497</v>
      </c>
      <c r="J75" s="283" t="s">
        <v>136</v>
      </c>
      <c r="K75" s="33" t="s">
        <v>234</v>
      </c>
      <c r="L75" s="175"/>
      <c r="M75" s="248" t="str">
        <f t="shared" si="15"/>
        <v>ELCOBC</v>
      </c>
      <c r="N75" s="634" t="s">
        <v>478</v>
      </c>
      <c r="O75" s="248" t="s">
        <v>1501</v>
      </c>
      <c r="P75" s="653">
        <v>1503146</v>
      </c>
      <c r="Q75" s="653">
        <f t="shared" si="4"/>
        <v>1834558</v>
      </c>
      <c r="R75" s="653">
        <v>3337704</v>
      </c>
      <c r="S75" s="662">
        <v>-3739347.445266</v>
      </c>
      <c r="T75" s="662"/>
      <c r="U75" s="662">
        <v>-4042234.5883325501</v>
      </c>
      <c r="V75" s="662">
        <v>-4253239.23384351</v>
      </c>
      <c r="W75" s="654">
        <f t="shared" si="16"/>
        <v>-4508433.587874121</v>
      </c>
      <c r="X75" s="336" t="str">
        <f>CONCATENATE($X$70,N75,M75)</f>
        <v>Exchange Revenue:  Service Charges - Electricity:  Sales - Commercial Conventional (3-Phase) ELCOBC</v>
      </c>
      <c r="Y75" s="186"/>
    </row>
    <row r="76" spans="1:25" s="39" customFormat="1" ht="16.5" customHeight="1" outlineLevel="3" x14ac:dyDescent="0.35">
      <c r="A76" s="174">
        <v>0</v>
      </c>
      <c r="B76" s="34">
        <v>0</v>
      </c>
      <c r="C76" s="36">
        <v>1</v>
      </c>
      <c r="D76" s="283" t="s">
        <v>1494</v>
      </c>
      <c r="E76" s="283" t="s">
        <v>226</v>
      </c>
      <c r="F76" s="283" t="s">
        <v>553</v>
      </c>
      <c r="G76" s="283" t="s">
        <v>1495</v>
      </c>
      <c r="H76" s="283" t="s">
        <v>1496</v>
      </c>
      <c r="I76" s="283" t="s">
        <v>1497</v>
      </c>
      <c r="J76" s="283" t="s">
        <v>136</v>
      </c>
      <c r="K76" s="33" t="s">
        <v>234</v>
      </c>
      <c r="L76" s="173"/>
      <c r="M76" s="248"/>
      <c r="N76" s="314"/>
      <c r="O76" s="260" t="s">
        <v>1610</v>
      </c>
      <c r="P76" s="653"/>
      <c r="Q76" s="653"/>
      <c r="R76" s="653"/>
      <c r="S76" s="662"/>
      <c r="T76" s="662"/>
      <c r="U76" s="662"/>
      <c r="V76" s="662"/>
      <c r="W76" s="653"/>
      <c r="X76" s="335"/>
      <c r="Y76" s="241"/>
    </row>
    <row r="77" spans="1:25" ht="16.5" customHeight="1" outlineLevel="3" x14ac:dyDescent="0.35">
      <c r="A77" s="174">
        <v>0</v>
      </c>
      <c r="B77" s="34">
        <v>0</v>
      </c>
      <c r="C77" s="36">
        <v>1</v>
      </c>
      <c r="D77" s="283" t="s">
        <v>1494</v>
      </c>
      <c r="E77" s="283" t="s">
        <v>1531</v>
      </c>
      <c r="F77" s="283" t="s">
        <v>144</v>
      </c>
      <c r="G77" s="283" t="s">
        <v>1495</v>
      </c>
      <c r="H77" s="283" t="s">
        <v>1496</v>
      </c>
      <c r="I77" s="283" t="s">
        <v>1497</v>
      </c>
      <c r="J77" s="283" t="s">
        <v>136</v>
      </c>
      <c r="K77" s="33" t="s">
        <v>234</v>
      </c>
      <c r="L77" s="175"/>
      <c r="M77" s="248" t="str">
        <f t="shared" ref="M77:M83" si="17">RIGHT(O77,6)</f>
        <v>ELP001</v>
      </c>
      <c r="N77" s="349"/>
      <c r="O77" s="248" t="s">
        <v>1514</v>
      </c>
      <c r="P77" s="653">
        <v>15663766</v>
      </c>
      <c r="Q77" s="653">
        <f t="shared" si="4"/>
        <v>7154008</v>
      </c>
      <c r="R77" s="653">
        <v>22817774</v>
      </c>
      <c r="S77" s="662">
        <v>-28090897.189784199</v>
      </c>
      <c r="T77" s="662"/>
      <c r="U77" s="662">
        <v>-30366259.8621567</v>
      </c>
      <c r="V77" s="662">
        <v>-31951378.626961298</v>
      </c>
      <c r="W77" s="654">
        <f t="shared" ref="W77:W85" si="18">V77*(1+$W$2)</f>
        <v>-33868461.344578981</v>
      </c>
      <c r="X77" s="340" t="str">
        <f t="shared" ref="X77:X83" si="19">CONCATENATE($X$37,N77,M77)</f>
        <v>Exchange Revenue:  Service Charges - Electricity:  Sales - Domestic High:  Home power BulkELP001</v>
      </c>
      <c r="Y77" s="188"/>
    </row>
    <row r="78" spans="1:25" ht="16.5" customHeight="1" outlineLevel="3" x14ac:dyDescent="0.35">
      <c r="A78" s="174">
        <v>0</v>
      </c>
      <c r="B78" s="34">
        <v>0</v>
      </c>
      <c r="C78" s="36">
        <v>1</v>
      </c>
      <c r="D78" s="283" t="s">
        <v>1494</v>
      </c>
      <c r="E78" s="283" t="s">
        <v>1531</v>
      </c>
      <c r="F78" s="283" t="s">
        <v>155</v>
      </c>
      <c r="G78" s="283" t="s">
        <v>1495</v>
      </c>
      <c r="H78" s="283" t="s">
        <v>1496</v>
      </c>
      <c r="I78" s="283" t="s">
        <v>1497</v>
      </c>
      <c r="J78" s="283" t="s">
        <v>136</v>
      </c>
      <c r="K78" s="33" t="s">
        <v>234</v>
      </c>
      <c r="L78" s="175"/>
      <c r="M78" s="248" t="str">
        <f t="shared" si="17"/>
        <v>ELS001</v>
      </c>
      <c r="N78" s="627"/>
      <c r="O78" s="248" t="s">
        <v>1579</v>
      </c>
      <c r="P78" s="653">
        <v>24956351</v>
      </c>
      <c r="Q78" s="653">
        <f t="shared" si="4"/>
        <v>22639295</v>
      </c>
      <c r="R78" s="653">
        <v>47595646</v>
      </c>
      <c r="S78" s="662">
        <v>-56389883.356761903</v>
      </c>
      <c r="T78" s="662"/>
      <c r="U78" s="662">
        <v>-60957463.9086596</v>
      </c>
      <c r="V78" s="662">
        <v>-64139443.524691701</v>
      </c>
      <c r="W78" s="654">
        <f t="shared" si="18"/>
        <v>-67987810.136173204</v>
      </c>
      <c r="X78" s="340" t="str">
        <f t="shared" si="19"/>
        <v>Exchange Revenue:  Service Charges - Electricity:  Sales - Domestic High:  Home power BulkELS001</v>
      </c>
      <c r="Y78" s="188"/>
    </row>
    <row r="79" spans="1:25" ht="16.5" customHeight="1" outlineLevel="3" x14ac:dyDescent="0.35">
      <c r="A79" s="174">
        <v>0</v>
      </c>
      <c r="B79" s="34">
        <v>0</v>
      </c>
      <c r="C79" s="36">
        <v>1</v>
      </c>
      <c r="D79" s="283" t="s">
        <v>1494</v>
      </c>
      <c r="E79" s="283" t="s">
        <v>1531</v>
      </c>
      <c r="F79" s="283" t="s">
        <v>145</v>
      </c>
      <c r="G79" s="283" t="s">
        <v>1495</v>
      </c>
      <c r="H79" s="283" t="s">
        <v>1496</v>
      </c>
      <c r="I79" s="283" t="s">
        <v>1497</v>
      </c>
      <c r="J79" s="283" t="s">
        <v>136</v>
      </c>
      <c r="K79" s="33" t="s">
        <v>234</v>
      </c>
      <c r="L79" s="175"/>
      <c r="M79" s="248" t="str">
        <f t="shared" si="17"/>
        <v>ELO001</v>
      </c>
      <c r="N79" s="627"/>
      <c r="O79" s="248" t="s">
        <v>1580</v>
      </c>
      <c r="P79" s="653">
        <v>21745992</v>
      </c>
      <c r="Q79" s="653">
        <f t="shared" si="4"/>
        <v>8418812</v>
      </c>
      <c r="R79" s="653">
        <v>30164804</v>
      </c>
      <c r="S79" s="662">
        <v>-37116815.281621397</v>
      </c>
      <c r="T79" s="662"/>
      <c r="U79" s="662">
        <v>-40123277.319432698</v>
      </c>
      <c r="V79" s="662">
        <v>-42217712.395507097</v>
      </c>
      <c r="W79" s="654">
        <f t="shared" si="18"/>
        <v>-44750775.139237523</v>
      </c>
      <c r="X79" s="340" t="str">
        <f t="shared" si="19"/>
        <v>Exchange Revenue:  Service Charges - Electricity:  Sales - Domestic High:  Home power BulkELO001</v>
      </c>
      <c r="Y79" s="188"/>
    </row>
    <row r="80" spans="1:25" ht="16.5" customHeight="1" outlineLevel="3" x14ac:dyDescent="0.35">
      <c r="A80" s="174">
        <v>0</v>
      </c>
      <c r="B80" s="34">
        <v>0</v>
      </c>
      <c r="C80" s="36">
        <v>1</v>
      </c>
      <c r="D80" s="283" t="s">
        <v>1494</v>
      </c>
      <c r="E80" s="283" t="s">
        <v>1531</v>
      </c>
      <c r="F80" s="283" t="s">
        <v>146</v>
      </c>
      <c r="G80" s="283" t="s">
        <v>1495</v>
      </c>
      <c r="H80" s="283" t="s">
        <v>1496</v>
      </c>
      <c r="I80" s="283" t="s">
        <v>1497</v>
      </c>
      <c r="J80" s="283" t="s">
        <v>136</v>
      </c>
      <c r="K80" s="33" t="s">
        <v>234</v>
      </c>
      <c r="L80" s="175"/>
      <c r="M80" s="248" t="str">
        <f t="shared" si="17"/>
        <v>ELHP01</v>
      </c>
      <c r="N80" s="634"/>
      <c r="O80" s="248" t="s">
        <v>1513</v>
      </c>
      <c r="P80" s="653">
        <v>14054154</v>
      </c>
      <c r="Q80" s="653">
        <f t="shared" si="4"/>
        <v>5310159</v>
      </c>
      <c r="R80" s="653">
        <v>19364313</v>
      </c>
      <c r="S80" s="662">
        <v>-19062104.465121999</v>
      </c>
      <c r="T80" s="662"/>
      <c r="U80" s="662">
        <v>-20606134.926796898</v>
      </c>
      <c r="V80" s="662">
        <v>-21681775.169975702</v>
      </c>
      <c r="W80" s="654">
        <f t="shared" si="18"/>
        <v>-22982681.680174246</v>
      </c>
      <c r="X80" s="340" t="str">
        <f t="shared" si="19"/>
        <v>Exchange Revenue:  Service Charges - Electricity:  Sales - Domestic High:  Home power BulkELHP01</v>
      </c>
      <c r="Y80" s="188"/>
    </row>
    <row r="81" spans="1:25" ht="16.5" customHeight="1" outlineLevel="3" x14ac:dyDescent="0.35">
      <c r="A81" s="174">
        <v>0</v>
      </c>
      <c r="B81" s="34">
        <v>0</v>
      </c>
      <c r="C81" s="36">
        <v>1</v>
      </c>
      <c r="D81" s="283" t="s">
        <v>1494</v>
      </c>
      <c r="E81" s="283" t="s">
        <v>1531</v>
      </c>
      <c r="F81" s="283" t="s">
        <v>147</v>
      </c>
      <c r="G81" s="283" t="s">
        <v>1495</v>
      </c>
      <c r="H81" s="283" t="s">
        <v>1496</v>
      </c>
      <c r="I81" s="283" t="s">
        <v>1497</v>
      </c>
      <c r="J81" s="283" t="s">
        <v>136</v>
      </c>
      <c r="K81" s="33" t="s">
        <v>234</v>
      </c>
      <c r="L81" s="175"/>
      <c r="M81" s="248" t="str">
        <f t="shared" si="17"/>
        <v>ELHS01</v>
      </c>
      <c r="N81" s="634"/>
      <c r="O81" s="248" t="s">
        <v>1581</v>
      </c>
      <c r="P81" s="653">
        <v>16843907</v>
      </c>
      <c r="Q81" s="653">
        <f t="shared" si="4"/>
        <v>5019548</v>
      </c>
      <c r="R81" s="653">
        <v>21863455</v>
      </c>
      <c r="S81" s="662">
        <v>-22821694.0738024</v>
      </c>
      <c r="T81" s="662"/>
      <c r="U81" s="662">
        <v>-24670251.293780401</v>
      </c>
      <c r="V81" s="662">
        <v>-25958038.411315698</v>
      </c>
      <c r="W81" s="654">
        <f t="shared" si="18"/>
        <v>-27515520.715994641</v>
      </c>
      <c r="X81" s="340" t="str">
        <f t="shared" si="19"/>
        <v>Exchange Revenue:  Service Charges - Electricity:  Sales - Domestic High:  Home power BulkELHS01</v>
      </c>
      <c r="Y81" s="188"/>
    </row>
    <row r="82" spans="1:25" ht="16.5" customHeight="1" outlineLevel="3" x14ac:dyDescent="0.35">
      <c r="A82" s="174">
        <v>0</v>
      </c>
      <c r="B82" s="34">
        <v>0</v>
      </c>
      <c r="C82" s="36">
        <v>1</v>
      </c>
      <c r="D82" s="283" t="s">
        <v>1494</v>
      </c>
      <c r="E82" s="283" t="s">
        <v>1531</v>
      </c>
      <c r="F82" s="283" t="s">
        <v>148</v>
      </c>
      <c r="G82" s="283" t="s">
        <v>1495</v>
      </c>
      <c r="H82" s="283" t="s">
        <v>1496</v>
      </c>
      <c r="I82" s="283" t="s">
        <v>1497</v>
      </c>
      <c r="J82" s="283" t="s">
        <v>136</v>
      </c>
      <c r="K82" s="33" t="s">
        <v>234</v>
      </c>
      <c r="L82" s="175"/>
      <c r="M82" s="248" t="str">
        <f t="shared" si="17"/>
        <v>ELHO01</v>
      </c>
      <c r="N82" s="349"/>
      <c r="O82" s="248" t="s">
        <v>1582</v>
      </c>
      <c r="P82" s="653">
        <v>15776372</v>
      </c>
      <c r="Q82" s="653">
        <f t="shared" si="4"/>
        <v>3588202</v>
      </c>
      <c r="R82" s="653">
        <v>19364574</v>
      </c>
      <c r="S82" s="662">
        <v>-19229588.7080709</v>
      </c>
      <c r="T82" s="662"/>
      <c r="U82" s="662">
        <v>-20787185.3934246</v>
      </c>
      <c r="V82" s="662">
        <v>-21872276.470961399</v>
      </c>
      <c r="W82" s="654">
        <f t="shared" si="18"/>
        <v>-23184613.059219085</v>
      </c>
      <c r="X82" s="340" t="str">
        <f t="shared" si="19"/>
        <v>Exchange Revenue:  Service Charges - Electricity:  Sales - Domestic High:  Home power BulkELHO01</v>
      </c>
      <c r="Y82" s="188"/>
    </row>
    <row r="83" spans="1:25" ht="16.5" customHeight="1" outlineLevel="3" x14ac:dyDescent="0.35">
      <c r="A83" s="174">
        <v>0</v>
      </c>
      <c r="B83" s="34">
        <v>0</v>
      </c>
      <c r="C83" s="36">
        <v>1</v>
      </c>
      <c r="D83" s="283" t="s">
        <v>1494</v>
      </c>
      <c r="E83" s="283" t="s">
        <v>1531</v>
      </c>
      <c r="F83" s="283" t="s">
        <v>149</v>
      </c>
      <c r="G83" s="283" t="s">
        <v>1495</v>
      </c>
      <c r="H83" s="283" t="s">
        <v>1496</v>
      </c>
      <c r="I83" s="283" t="s">
        <v>1497</v>
      </c>
      <c r="J83" s="283" t="s">
        <v>136</v>
      </c>
      <c r="K83" s="33" t="s">
        <v>234</v>
      </c>
      <c r="L83" s="175"/>
      <c r="M83" s="248" t="str">
        <f t="shared" si="17"/>
        <v>CHARGE</v>
      </c>
      <c r="N83" s="349"/>
      <c r="O83" s="248" t="s">
        <v>1611</v>
      </c>
      <c r="P83" s="653" t="s">
        <v>1633</v>
      </c>
      <c r="Q83" s="653"/>
      <c r="R83" s="653" t="s">
        <v>1633</v>
      </c>
      <c r="S83" s="662">
        <v>-167075.85024</v>
      </c>
      <c r="T83" s="662"/>
      <c r="U83" s="662">
        <v>-180608.99410944001</v>
      </c>
      <c r="V83" s="662">
        <v>-190036.78360195301</v>
      </c>
      <c r="W83" s="654">
        <f t="shared" si="18"/>
        <v>-201438.99061807021</v>
      </c>
      <c r="X83" s="340" t="str">
        <f t="shared" si="19"/>
        <v>Exchange Revenue:  Service Charges - Electricity:  Sales - Domestic High:  Home power BulkCHARGE</v>
      </c>
      <c r="Y83" s="188"/>
    </row>
    <row r="84" spans="1:25" ht="16.5" customHeight="1" outlineLevel="3" x14ac:dyDescent="0.35">
      <c r="A84" s="174">
        <v>0</v>
      </c>
      <c r="B84" s="34">
        <v>0</v>
      </c>
      <c r="C84" s="36">
        <v>1</v>
      </c>
      <c r="D84" s="283" t="s">
        <v>1494</v>
      </c>
      <c r="E84" s="283" t="s">
        <v>1531</v>
      </c>
      <c r="F84" s="283" t="s">
        <v>150</v>
      </c>
      <c r="G84" s="283" t="s">
        <v>1495</v>
      </c>
      <c r="H84" s="283" t="s">
        <v>1496</v>
      </c>
      <c r="I84" s="283" t="s">
        <v>1497</v>
      </c>
      <c r="J84" s="283" t="s">
        <v>136</v>
      </c>
      <c r="K84" s="33" t="s">
        <v>234</v>
      </c>
      <c r="L84" s="175"/>
      <c r="M84" s="248" t="s">
        <v>1629</v>
      </c>
      <c r="N84" s="349"/>
      <c r="O84" s="248" t="s">
        <v>1612</v>
      </c>
      <c r="P84" s="653">
        <v>13565217</v>
      </c>
      <c r="Q84" s="653">
        <f t="shared" si="4"/>
        <v>4286663</v>
      </c>
      <c r="R84" s="653">
        <v>17851880</v>
      </c>
      <c r="S84" s="662">
        <v>-19746586.369440001</v>
      </c>
      <c r="T84" s="662"/>
      <c r="U84" s="662">
        <v>-21346059.8653646</v>
      </c>
      <c r="V84" s="662">
        <v>-22460324.190336701</v>
      </c>
      <c r="W84" s="654">
        <f t="shared" si="18"/>
        <v>-23807943.641756903</v>
      </c>
      <c r="X84" s="340"/>
      <c r="Y84" s="188"/>
    </row>
    <row r="85" spans="1:25" ht="16.5" customHeight="1" outlineLevel="3" x14ac:dyDescent="0.35">
      <c r="A85" s="174">
        <v>0</v>
      </c>
      <c r="B85" s="34">
        <v>0</v>
      </c>
      <c r="C85" s="36">
        <v>1</v>
      </c>
      <c r="D85" s="283" t="s">
        <v>1494</v>
      </c>
      <c r="E85" s="283" t="s">
        <v>1531</v>
      </c>
      <c r="F85" s="283" t="s">
        <v>151</v>
      </c>
      <c r="G85" s="283" t="s">
        <v>1495</v>
      </c>
      <c r="H85" s="283" t="s">
        <v>1496</v>
      </c>
      <c r="I85" s="283" t="s">
        <v>1497</v>
      </c>
      <c r="J85" s="283" t="s">
        <v>136</v>
      </c>
      <c r="K85" s="33" t="s">
        <v>234</v>
      </c>
      <c r="L85" s="175"/>
      <c r="M85" s="248" t="str">
        <f>RIGHT(O85,6)</f>
        <v>ELK001</v>
      </c>
      <c r="N85" s="349"/>
      <c r="O85" s="248" t="s">
        <v>1583</v>
      </c>
      <c r="P85" s="653">
        <v>28701234</v>
      </c>
      <c r="Q85" s="653">
        <f t="shared" ref="Q85" si="20">+R85-P85</f>
        <v>11862026</v>
      </c>
      <c r="R85" s="653">
        <v>40563260</v>
      </c>
      <c r="S85" s="662">
        <v>-45589056.523806602</v>
      </c>
      <c r="T85" s="662"/>
      <c r="U85" s="662">
        <v>-49281770.1022349</v>
      </c>
      <c r="V85" s="662">
        <v>-51854278.501571603</v>
      </c>
      <c r="W85" s="654">
        <f t="shared" si="18"/>
        <v>-54965535.211665899</v>
      </c>
      <c r="X85" s="340" t="str">
        <f>CONCATENATE($X$37,N85,M85)</f>
        <v>Exchange Revenue:  Service Charges - Electricity:  Sales - Domestic High:  Home power BulkELK001</v>
      </c>
      <c r="Y85" s="188"/>
    </row>
    <row r="86" spans="1:25" s="39" customFormat="1" ht="16.5" customHeight="1" outlineLevel="3" x14ac:dyDescent="0.35">
      <c r="A86" s="174">
        <v>0</v>
      </c>
      <c r="B86" s="34">
        <v>0</v>
      </c>
      <c r="C86" s="36">
        <v>1</v>
      </c>
      <c r="D86" s="283" t="s">
        <v>1494</v>
      </c>
      <c r="E86" s="283" t="s">
        <v>226</v>
      </c>
      <c r="F86" s="283" t="s">
        <v>553</v>
      </c>
      <c r="G86" s="283" t="s">
        <v>1495</v>
      </c>
      <c r="H86" s="283" t="s">
        <v>1496</v>
      </c>
      <c r="I86" s="283" t="s">
        <v>1497</v>
      </c>
      <c r="J86" s="283" t="s">
        <v>136</v>
      </c>
      <c r="K86" s="33" t="s">
        <v>234</v>
      </c>
      <c r="L86" s="173"/>
      <c r="M86" s="248"/>
      <c r="N86" s="314"/>
      <c r="O86" s="260" t="s">
        <v>1542</v>
      </c>
      <c r="P86" s="653"/>
      <c r="Q86" s="653"/>
      <c r="R86" s="653"/>
      <c r="S86" s="662"/>
      <c r="T86" s="662"/>
      <c r="U86" s="662"/>
      <c r="V86" s="662"/>
      <c r="W86" s="653"/>
      <c r="X86" s="335"/>
      <c r="Y86" s="241"/>
    </row>
    <row r="87" spans="1:25" ht="16.5" customHeight="1" outlineLevel="3" x14ac:dyDescent="0.35">
      <c r="A87" s="174">
        <v>0</v>
      </c>
      <c r="B87" s="34">
        <v>0</v>
      </c>
      <c r="C87" s="36">
        <v>1</v>
      </c>
      <c r="D87" s="283" t="s">
        <v>1494</v>
      </c>
      <c r="E87" s="283" t="s">
        <v>226</v>
      </c>
      <c r="F87" s="283" t="s">
        <v>144</v>
      </c>
      <c r="G87" s="283" t="s">
        <v>1495</v>
      </c>
      <c r="H87" s="283" t="s">
        <v>1496</v>
      </c>
      <c r="I87" s="283" t="s">
        <v>1497</v>
      </c>
      <c r="J87" s="283" t="s">
        <v>136</v>
      </c>
      <c r="K87" s="33" t="s">
        <v>234</v>
      </c>
      <c r="L87" s="175"/>
      <c r="M87" s="248" t="str">
        <f t="shared" ref="M87:M93" si="21">RIGHT(O87,6)</f>
        <v>ELP002</v>
      </c>
      <c r="N87" s="349" t="s">
        <v>478</v>
      </c>
      <c r="O87" s="248" t="s">
        <v>1609</v>
      </c>
      <c r="P87" s="653">
        <v>78985353</v>
      </c>
      <c r="Q87" s="662">
        <f t="shared" ref="Q87:Q92" si="22">+R87-P87</f>
        <v>-3455265.7699999958</v>
      </c>
      <c r="R87" s="653">
        <v>75530087.230000004</v>
      </c>
      <c r="S87" s="662">
        <v>-85577858.703750297</v>
      </c>
      <c r="T87" s="662"/>
      <c r="U87" s="662">
        <v>-92509665.258754104</v>
      </c>
      <c r="V87" s="662">
        <v>-97338669.785261005</v>
      </c>
      <c r="W87" s="654">
        <f t="shared" ref="W87:W95" si="23">V87*(1+$W$2)</f>
        <v>-103178989.97237667</v>
      </c>
      <c r="X87" s="342" t="str">
        <f>CONCATENATE($X$91,N87,M87)</f>
        <v>Exchange Revenue:  Service Charges - Electricity:  Sales - Industrial (400 Volts) (Low Voltage) ELP002</v>
      </c>
      <c r="Y87" s="189"/>
    </row>
    <row r="88" spans="1:25" ht="16.5" customHeight="1" outlineLevel="3" x14ac:dyDescent="0.35">
      <c r="A88" s="174">
        <v>0</v>
      </c>
      <c r="B88" s="34">
        <v>0</v>
      </c>
      <c r="C88" s="36">
        <v>1</v>
      </c>
      <c r="D88" s="283" t="s">
        <v>1494</v>
      </c>
      <c r="E88" s="283" t="s">
        <v>226</v>
      </c>
      <c r="F88" s="283" t="s">
        <v>155</v>
      </c>
      <c r="G88" s="283" t="s">
        <v>1495</v>
      </c>
      <c r="H88" s="283" t="s">
        <v>1496</v>
      </c>
      <c r="I88" s="283" t="s">
        <v>1497</v>
      </c>
      <c r="J88" s="283" t="s">
        <v>136</v>
      </c>
      <c r="K88" s="33" t="s">
        <v>234</v>
      </c>
      <c r="L88" s="175"/>
      <c r="M88" s="248" t="str">
        <f t="shared" si="21"/>
        <v>ELS002</v>
      </c>
      <c r="N88" s="349" t="s">
        <v>478</v>
      </c>
      <c r="O88" s="248" t="s">
        <v>1608</v>
      </c>
      <c r="P88" s="653">
        <v>53878122</v>
      </c>
      <c r="Q88" s="662">
        <f t="shared" si="22"/>
        <v>70816073.780000001</v>
      </c>
      <c r="R88" s="653">
        <v>124694195.78</v>
      </c>
      <c r="S88" s="662">
        <v>-146707458.958709</v>
      </c>
      <c r="T88" s="662"/>
      <c r="U88" s="662">
        <v>-158590763.13436401</v>
      </c>
      <c r="V88" s="662">
        <v>-166869200.969978</v>
      </c>
      <c r="W88" s="654">
        <f t="shared" si="23"/>
        <v>-176881353.0281767</v>
      </c>
      <c r="X88" s="342" t="str">
        <f>CONCATENATE($X$91,N88,M88)</f>
        <v>Exchange Revenue:  Service Charges - Electricity:  Sales - Industrial (400 Volts) (Low Voltage) ELS002</v>
      </c>
      <c r="Y88" s="189"/>
    </row>
    <row r="89" spans="1:25" ht="16.5" customHeight="1" outlineLevel="3" x14ac:dyDescent="0.35">
      <c r="A89" s="174">
        <v>0</v>
      </c>
      <c r="B89" s="34">
        <v>0</v>
      </c>
      <c r="C89" s="36">
        <v>1</v>
      </c>
      <c r="D89" s="283" t="s">
        <v>1494</v>
      </c>
      <c r="E89" s="283" t="s">
        <v>226</v>
      </c>
      <c r="F89" s="283" t="s">
        <v>145</v>
      </c>
      <c r="G89" s="283" t="s">
        <v>1495</v>
      </c>
      <c r="H89" s="283" t="s">
        <v>1496</v>
      </c>
      <c r="I89" s="283" t="s">
        <v>1497</v>
      </c>
      <c r="J89" s="283" t="s">
        <v>136</v>
      </c>
      <c r="K89" s="33" t="s">
        <v>234</v>
      </c>
      <c r="L89" s="175"/>
      <c r="M89" s="248" t="str">
        <f t="shared" si="21"/>
        <v>ELO002</v>
      </c>
      <c r="N89" s="349" t="s">
        <v>478</v>
      </c>
      <c r="O89" s="248" t="s">
        <v>1607</v>
      </c>
      <c r="P89" s="653">
        <v>30481941</v>
      </c>
      <c r="Q89" s="662">
        <f t="shared" si="22"/>
        <v>73465576.150000006</v>
      </c>
      <c r="R89" s="653">
        <v>103947517.15000001</v>
      </c>
      <c r="S89" s="662">
        <v>-129934112.55931599</v>
      </c>
      <c r="T89" s="662"/>
      <c r="U89" s="662">
        <v>-140458775.67662099</v>
      </c>
      <c r="V89" s="662">
        <v>-147790723.76694</v>
      </c>
      <c r="W89" s="654">
        <f t="shared" si="23"/>
        <v>-156658167.19295642</v>
      </c>
      <c r="X89" s="342" t="str">
        <f>CONCATENATE($X$91,N89,M89)</f>
        <v>Exchange Revenue:  Service Charges - Electricity:  Sales - Industrial (400 Volts) (Low Voltage) ELO002</v>
      </c>
      <c r="Y89" s="189"/>
    </row>
    <row r="90" spans="1:25" ht="16.5" customHeight="1" outlineLevel="3" x14ac:dyDescent="0.35">
      <c r="A90" s="174">
        <v>0</v>
      </c>
      <c r="B90" s="34">
        <v>0</v>
      </c>
      <c r="C90" s="36">
        <v>1</v>
      </c>
      <c r="D90" s="283" t="s">
        <v>1494</v>
      </c>
      <c r="E90" s="283" t="s">
        <v>226</v>
      </c>
      <c r="F90" s="283" t="s">
        <v>146</v>
      </c>
      <c r="G90" s="283" t="s">
        <v>1495</v>
      </c>
      <c r="H90" s="283" t="s">
        <v>1496</v>
      </c>
      <c r="I90" s="283" t="s">
        <v>1497</v>
      </c>
      <c r="J90" s="283" t="s">
        <v>136</v>
      </c>
      <c r="K90" s="33" t="s">
        <v>234</v>
      </c>
      <c r="L90" s="175"/>
      <c r="M90" s="245" t="str">
        <f t="shared" si="21"/>
        <v>ELHP02</v>
      </c>
      <c r="N90" s="349" t="s">
        <v>478</v>
      </c>
      <c r="O90" s="364" t="s">
        <v>1515</v>
      </c>
      <c r="P90" s="653">
        <v>54042942</v>
      </c>
      <c r="Q90" s="662">
        <f t="shared" si="22"/>
        <v>-4741436.3800000027</v>
      </c>
      <c r="R90" s="653">
        <v>49301505.619999997</v>
      </c>
      <c r="S90" s="662">
        <v>-47334703.638191402</v>
      </c>
      <c r="T90" s="662"/>
      <c r="U90" s="662">
        <v>-51168814.632884897</v>
      </c>
      <c r="V90" s="662">
        <v>-53839826.756721497</v>
      </c>
      <c r="W90" s="654">
        <f t="shared" si="23"/>
        <v>-57070216.362124786</v>
      </c>
      <c r="X90" s="340" t="str">
        <f>CONCATENATE($X$93,N90,M90)</f>
        <v>Exchange Revenue:  Service Charges - Electricity:  Sales - Domestic High:  Prepaid ELHP02</v>
      </c>
      <c r="Y90" s="188"/>
    </row>
    <row r="91" spans="1:25" s="39" customFormat="1" ht="16.5" customHeight="1" outlineLevel="3" x14ac:dyDescent="0.35">
      <c r="A91" s="169">
        <v>0</v>
      </c>
      <c r="B91" s="170">
        <v>0</v>
      </c>
      <c r="C91" s="171">
        <v>1</v>
      </c>
      <c r="D91" s="283" t="s">
        <v>1494</v>
      </c>
      <c r="E91" s="283" t="s">
        <v>226</v>
      </c>
      <c r="F91" s="283" t="s">
        <v>147</v>
      </c>
      <c r="G91" s="283" t="s">
        <v>1495</v>
      </c>
      <c r="H91" s="283" t="s">
        <v>1496</v>
      </c>
      <c r="I91" s="283" t="s">
        <v>1497</v>
      </c>
      <c r="J91" s="283" t="s">
        <v>136</v>
      </c>
      <c r="K91" s="636" t="s">
        <v>234</v>
      </c>
      <c r="L91" s="173"/>
      <c r="M91" t="str">
        <f t="shared" si="21"/>
        <v>ELHS02</v>
      </c>
      <c r="N91" s="349" t="s">
        <v>478</v>
      </c>
      <c r="O91" s="248" t="s">
        <v>1584</v>
      </c>
      <c r="P91" s="653">
        <v>68328199</v>
      </c>
      <c r="Q91" s="662">
        <f t="shared" si="22"/>
        <v>-6536384.1799999997</v>
      </c>
      <c r="R91" s="653">
        <v>61791814.82</v>
      </c>
      <c r="S91" s="662">
        <v>-60332063.287694</v>
      </c>
      <c r="T91" s="662"/>
      <c r="U91" s="662">
        <v>-65218960.413997203</v>
      </c>
      <c r="V91" s="662">
        <v>-68623390.147607893</v>
      </c>
      <c r="W91" s="654">
        <f t="shared" si="23"/>
        <v>-72740793.556464374</v>
      </c>
      <c r="X91" s="341" t="s">
        <v>52</v>
      </c>
      <c r="Y91" s="244" t="s">
        <v>1913</v>
      </c>
    </row>
    <row r="92" spans="1:25" ht="16.5" customHeight="1" outlineLevel="3" x14ac:dyDescent="0.35">
      <c r="A92" s="174">
        <v>0</v>
      </c>
      <c r="B92" s="34">
        <v>0</v>
      </c>
      <c r="C92" s="36">
        <v>1</v>
      </c>
      <c r="D92" s="283" t="s">
        <v>1494</v>
      </c>
      <c r="E92" s="283" t="s">
        <v>226</v>
      </c>
      <c r="F92" s="283" t="s">
        <v>148</v>
      </c>
      <c r="G92" s="283" t="s">
        <v>1495</v>
      </c>
      <c r="H92" s="283" t="s">
        <v>1496</v>
      </c>
      <c r="I92" s="283" t="s">
        <v>1497</v>
      </c>
      <c r="J92" s="283" t="s">
        <v>136</v>
      </c>
      <c r="K92" s="33" t="s">
        <v>234</v>
      </c>
      <c r="L92" s="175"/>
      <c r="M92" s="248" t="str">
        <f t="shared" si="21"/>
        <v>ELHO02</v>
      </c>
      <c r="N92" s="349"/>
      <c r="O92" s="248" t="s">
        <v>1585</v>
      </c>
      <c r="P92" s="653">
        <v>58177946</v>
      </c>
      <c r="Q92" s="662">
        <f t="shared" si="22"/>
        <v>-4345016.18</v>
      </c>
      <c r="R92" s="653">
        <v>53832929.82</v>
      </c>
      <c r="S92" s="662">
        <v>-49946867.441949897</v>
      </c>
      <c r="T92" s="662"/>
      <c r="U92" s="662">
        <v>-53992563.7047479</v>
      </c>
      <c r="V92" s="662">
        <v>-56810975.530135699</v>
      </c>
      <c r="W92" s="654">
        <f t="shared" si="23"/>
        <v>-60219634.061943844</v>
      </c>
      <c r="X92" s="342" t="str">
        <f>CONCATENATE($X$91,N92,M92)</f>
        <v>Exchange Revenue:  Service Charges - Electricity:  Sales - Industrial (400 Volts) (Low Voltage)ELHO02</v>
      </c>
      <c r="Y92" s="189"/>
    </row>
    <row r="93" spans="1:25" s="39" customFormat="1" ht="16.5" customHeight="1" outlineLevel="3" x14ac:dyDescent="0.35">
      <c r="A93" s="169">
        <v>0</v>
      </c>
      <c r="B93" s="170">
        <v>0</v>
      </c>
      <c r="C93" s="171">
        <v>1</v>
      </c>
      <c r="D93" s="283" t="s">
        <v>1494</v>
      </c>
      <c r="E93" s="283" t="s">
        <v>226</v>
      </c>
      <c r="F93" s="283" t="s">
        <v>149</v>
      </c>
      <c r="G93" s="283" t="s">
        <v>1495</v>
      </c>
      <c r="H93" s="283" t="s">
        <v>1496</v>
      </c>
      <c r="I93" s="283" t="s">
        <v>1497</v>
      </c>
      <c r="J93" s="283" t="s">
        <v>136</v>
      </c>
      <c r="K93" s="636" t="s">
        <v>234</v>
      </c>
      <c r="L93" s="173"/>
      <c r="M93" t="str">
        <f t="shared" si="21"/>
        <v>CHARGE</v>
      </c>
      <c r="N93" s="349" t="s">
        <v>478</v>
      </c>
      <c r="O93" s="248" t="s">
        <v>1586</v>
      </c>
      <c r="P93" s="653" t="s">
        <v>1633</v>
      </c>
      <c r="Q93" s="653"/>
      <c r="R93" s="653" t="s">
        <v>1633</v>
      </c>
      <c r="S93" s="662">
        <v>-4668134.4792719996</v>
      </c>
      <c r="T93" s="662"/>
      <c r="U93" s="662">
        <v>-5046253.3720930303</v>
      </c>
      <c r="V93" s="662">
        <v>-5309667.79811629</v>
      </c>
      <c r="W93" s="654">
        <f t="shared" si="23"/>
        <v>-5628247.8660032675</v>
      </c>
      <c r="X93" s="339" t="s">
        <v>141</v>
      </c>
      <c r="Y93" s="243" t="s">
        <v>1914</v>
      </c>
    </row>
    <row r="94" spans="1:25" s="39" customFormat="1" ht="16.5" customHeight="1" outlineLevel="3" x14ac:dyDescent="0.35">
      <c r="A94" s="169">
        <v>0</v>
      </c>
      <c r="B94" s="170">
        <v>0</v>
      </c>
      <c r="C94" s="171">
        <v>1</v>
      </c>
      <c r="D94" s="283" t="s">
        <v>1494</v>
      </c>
      <c r="E94" s="283" t="s">
        <v>226</v>
      </c>
      <c r="F94" s="283" t="s">
        <v>150</v>
      </c>
      <c r="G94" s="283" t="s">
        <v>1495</v>
      </c>
      <c r="H94" s="283" t="s">
        <v>1496</v>
      </c>
      <c r="I94" s="283" t="s">
        <v>1497</v>
      </c>
      <c r="J94" s="283" t="s">
        <v>136</v>
      </c>
      <c r="K94" s="636" t="s">
        <v>234</v>
      </c>
      <c r="L94" s="173"/>
      <c r="M94" s="248" t="s">
        <v>1629</v>
      </c>
      <c r="N94" s="349"/>
      <c r="O94" s="248" t="s">
        <v>1587</v>
      </c>
      <c r="P94" s="653">
        <v>67011564</v>
      </c>
      <c r="Q94" s="662">
        <f t="shared" ref="Q94:Q95" si="24">+R94-P94</f>
        <v>2030878</v>
      </c>
      <c r="R94" s="653">
        <v>69042442</v>
      </c>
      <c r="S94" s="662">
        <v>-69245795.458517805</v>
      </c>
      <c r="T94" s="662"/>
      <c r="U94" s="662">
        <v>-74854704.890657693</v>
      </c>
      <c r="V94" s="662">
        <v>-78762120.485950097</v>
      </c>
      <c r="W94" s="654">
        <f t="shared" si="23"/>
        <v>-83487847.715107113</v>
      </c>
      <c r="X94" s="339"/>
      <c r="Y94" s="243"/>
    </row>
    <row r="95" spans="1:25" ht="16.5" customHeight="1" outlineLevel="3" x14ac:dyDescent="0.35">
      <c r="A95" s="174">
        <v>0</v>
      </c>
      <c r="B95" s="34">
        <v>0</v>
      </c>
      <c r="C95" s="36">
        <v>1</v>
      </c>
      <c r="D95" s="283" t="s">
        <v>1494</v>
      </c>
      <c r="E95" s="283" t="s">
        <v>226</v>
      </c>
      <c r="F95" s="283" t="s">
        <v>151</v>
      </c>
      <c r="G95" s="283" t="s">
        <v>1495</v>
      </c>
      <c r="H95" s="283" t="s">
        <v>1496</v>
      </c>
      <c r="I95" s="283" t="s">
        <v>1497</v>
      </c>
      <c r="J95" s="283" t="s">
        <v>136</v>
      </c>
      <c r="K95" s="33" t="s">
        <v>234</v>
      </c>
      <c r="L95" s="175"/>
      <c r="M95" s="245" t="str">
        <f>RIGHT(O95,6)</f>
        <v>ELK002</v>
      </c>
      <c r="N95" s="349" t="s">
        <v>478</v>
      </c>
      <c r="O95" s="364" t="s">
        <v>1606</v>
      </c>
      <c r="P95" s="653">
        <v>58285287</v>
      </c>
      <c r="Q95" s="662">
        <f t="shared" si="24"/>
        <v>99377298</v>
      </c>
      <c r="R95" s="653">
        <v>157662585</v>
      </c>
      <c r="S95" s="662">
        <v>-153860622.86754501</v>
      </c>
      <c r="T95" s="662"/>
      <c r="U95" s="662">
        <v>-166323333.31981701</v>
      </c>
      <c r="V95" s="662">
        <v>-175005411.31911099</v>
      </c>
      <c r="W95" s="654">
        <f t="shared" si="23"/>
        <v>-185505735.99825767</v>
      </c>
      <c r="X95" s="340" t="str">
        <f>CONCATENATE($X$93,N95,M95)</f>
        <v>Exchange Revenue:  Service Charges - Electricity:  Sales - Domestic High:  Prepaid ELK002</v>
      </c>
      <c r="Y95" s="188"/>
    </row>
    <row r="96" spans="1:25" s="39" customFormat="1" ht="16.5" customHeight="1" outlineLevel="3" x14ac:dyDescent="0.35">
      <c r="A96" s="174">
        <v>0</v>
      </c>
      <c r="B96" s="34">
        <v>0</v>
      </c>
      <c r="C96" s="36">
        <v>1</v>
      </c>
      <c r="D96" s="283" t="s">
        <v>1494</v>
      </c>
      <c r="E96" s="283" t="s">
        <v>227</v>
      </c>
      <c r="F96" s="283" t="s">
        <v>553</v>
      </c>
      <c r="G96" s="283" t="s">
        <v>1495</v>
      </c>
      <c r="H96" s="283" t="s">
        <v>1496</v>
      </c>
      <c r="I96" s="283" t="s">
        <v>1497</v>
      </c>
      <c r="J96" s="283" t="s">
        <v>136</v>
      </c>
      <c r="K96" s="33" t="s">
        <v>234</v>
      </c>
      <c r="L96" s="173"/>
      <c r="M96" s="248"/>
      <c r="N96" s="314"/>
      <c r="O96" s="260" t="s">
        <v>1543</v>
      </c>
      <c r="P96" s="653"/>
      <c r="Q96" s="653"/>
      <c r="R96" s="653"/>
      <c r="S96" s="662"/>
      <c r="T96" s="662"/>
      <c r="U96" s="662"/>
      <c r="V96" s="662"/>
      <c r="W96" s="653"/>
      <c r="X96" s="335"/>
      <c r="Y96" s="241"/>
    </row>
    <row r="97" spans="1:25" ht="16.5" customHeight="1" outlineLevel="3" x14ac:dyDescent="0.35">
      <c r="A97" s="174">
        <v>0</v>
      </c>
      <c r="B97" s="34">
        <v>0</v>
      </c>
      <c r="C97" s="36">
        <v>1</v>
      </c>
      <c r="D97" s="283" t="s">
        <v>1494</v>
      </c>
      <c r="E97" s="283" t="s">
        <v>227</v>
      </c>
      <c r="F97" s="283" t="s">
        <v>144</v>
      </c>
      <c r="G97" s="283" t="s">
        <v>1495</v>
      </c>
      <c r="H97" s="283" t="s">
        <v>1496</v>
      </c>
      <c r="I97" s="283" t="s">
        <v>1497</v>
      </c>
      <c r="J97" s="283" t="s">
        <v>136</v>
      </c>
      <c r="K97" s="33" t="s">
        <v>234</v>
      </c>
      <c r="L97" s="175"/>
      <c r="M97" s="248" t="str">
        <f t="shared" ref="M97:M103" si="25">RIGHT(O97,6)</f>
        <v>ELP003</v>
      </c>
      <c r="N97" s="349" t="s">
        <v>478</v>
      </c>
      <c r="O97" s="248" t="s">
        <v>1604</v>
      </c>
      <c r="P97" s="653">
        <v>31100312</v>
      </c>
      <c r="Q97" s="662">
        <f t="shared" ref="Q97:Q121" si="26">+R97-P97</f>
        <v>1353708</v>
      </c>
      <c r="R97" s="653">
        <v>32454020</v>
      </c>
      <c r="S97" s="662">
        <v>-34535980.747440301</v>
      </c>
      <c r="T97" s="662"/>
      <c r="U97" s="662">
        <v>-37333395.187982999</v>
      </c>
      <c r="V97" s="662">
        <v>-39282198.416795701</v>
      </c>
      <c r="W97" s="654">
        <f t="shared" ref="W97:W105" si="27">V97*(1+$W$2)</f>
        <v>-41639130.321803443</v>
      </c>
      <c r="X97" s="340" t="str">
        <f t="shared" ref="X97:X103" si="28">CONCATENATE($X$37,N97,M97)</f>
        <v>Exchange Revenue:  Service Charges - Electricity:  Sales - Domestic High:  Home power Bulk ELP003</v>
      </c>
      <c r="Y97" s="188"/>
    </row>
    <row r="98" spans="1:25" ht="16.5" customHeight="1" outlineLevel="3" x14ac:dyDescent="0.35">
      <c r="A98" s="174">
        <v>0</v>
      </c>
      <c r="B98" s="34">
        <v>0</v>
      </c>
      <c r="C98" s="36">
        <v>1</v>
      </c>
      <c r="D98" s="283" t="s">
        <v>1494</v>
      </c>
      <c r="E98" s="283" t="s">
        <v>227</v>
      </c>
      <c r="F98" s="283" t="s">
        <v>155</v>
      </c>
      <c r="G98" s="283" t="s">
        <v>1495</v>
      </c>
      <c r="H98" s="283" t="s">
        <v>1496</v>
      </c>
      <c r="I98" s="283" t="s">
        <v>1497</v>
      </c>
      <c r="J98" s="283" t="s">
        <v>136</v>
      </c>
      <c r="K98" s="33" t="s">
        <v>234</v>
      </c>
      <c r="L98" s="175"/>
      <c r="M98" s="248" t="str">
        <f t="shared" si="25"/>
        <v>ELS003</v>
      </c>
      <c r="N98" s="349" t="s">
        <v>478</v>
      </c>
      <c r="O98" s="248" t="s">
        <v>1602</v>
      </c>
      <c r="P98" s="653">
        <v>52494200</v>
      </c>
      <c r="Q98" s="662">
        <f t="shared" si="26"/>
        <v>4477304</v>
      </c>
      <c r="R98" s="653">
        <v>56971504</v>
      </c>
      <c r="S98" s="662">
        <v>-56200955.678428397</v>
      </c>
      <c r="T98" s="662"/>
      <c r="U98" s="662">
        <v>-60753233.088381097</v>
      </c>
      <c r="V98" s="662">
        <v>-63924551.855594598</v>
      </c>
      <c r="W98" s="654">
        <f t="shared" si="27"/>
        <v>-67760024.96693027</v>
      </c>
      <c r="X98" s="340" t="str">
        <f t="shared" si="28"/>
        <v>Exchange Revenue:  Service Charges - Electricity:  Sales - Domestic High:  Home power Bulk ELS003</v>
      </c>
      <c r="Y98" s="188"/>
    </row>
    <row r="99" spans="1:25" ht="16.5" customHeight="1" outlineLevel="3" x14ac:dyDescent="0.35">
      <c r="A99" s="174">
        <v>0</v>
      </c>
      <c r="B99" s="34">
        <v>0</v>
      </c>
      <c r="C99" s="36">
        <v>1</v>
      </c>
      <c r="D99" s="283" t="s">
        <v>1494</v>
      </c>
      <c r="E99" s="283" t="s">
        <v>227</v>
      </c>
      <c r="F99" s="283" t="s">
        <v>145</v>
      </c>
      <c r="G99" s="283" t="s">
        <v>1495</v>
      </c>
      <c r="H99" s="283" t="s">
        <v>1496</v>
      </c>
      <c r="I99" s="283" t="s">
        <v>1497</v>
      </c>
      <c r="J99" s="283" t="s">
        <v>136</v>
      </c>
      <c r="K99" s="33" t="s">
        <v>234</v>
      </c>
      <c r="L99" s="175"/>
      <c r="M99" s="248" t="str">
        <f t="shared" si="25"/>
        <v>ELO003</v>
      </c>
      <c r="N99" s="349" t="s">
        <v>478</v>
      </c>
      <c r="O99" s="248" t="s">
        <v>1603</v>
      </c>
      <c r="P99" s="653">
        <v>40857768</v>
      </c>
      <c r="Q99" s="662">
        <f t="shared" si="26"/>
        <v>8143537</v>
      </c>
      <c r="R99" s="653">
        <v>49001305</v>
      </c>
      <c r="S99" s="662">
        <v>-44380357.555518702</v>
      </c>
      <c r="T99" s="662"/>
      <c r="U99" s="662">
        <v>-47975166.517515697</v>
      </c>
      <c r="V99" s="662">
        <v>-50479470.209730104</v>
      </c>
      <c r="W99" s="654">
        <f t="shared" si="27"/>
        <v>-53508238.422313914</v>
      </c>
      <c r="X99" s="340" t="str">
        <f t="shared" si="28"/>
        <v>Exchange Revenue:  Service Charges - Electricity:  Sales - Domestic High:  Home power Bulk ELO003</v>
      </c>
      <c r="Y99" s="188"/>
    </row>
    <row r="100" spans="1:25" ht="16.5" customHeight="1" outlineLevel="3" x14ac:dyDescent="0.35">
      <c r="A100" s="174">
        <v>0</v>
      </c>
      <c r="B100" s="34">
        <v>0</v>
      </c>
      <c r="C100" s="36">
        <v>1</v>
      </c>
      <c r="D100" s="283" t="s">
        <v>1494</v>
      </c>
      <c r="E100" s="283" t="s">
        <v>227</v>
      </c>
      <c r="F100" s="283" t="s">
        <v>146</v>
      </c>
      <c r="G100" s="283" t="s">
        <v>1495</v>
      </c>
      <c r="H100" s="283" t="s">
        <v>1496</v>
      </c>
      <c r="I100" s="283" t="s">
        <v>1497</v>
      </c>
      <c r="J100" s="283" t="s">
        <v>136</v>
      </c>
      <c r="K100" s="33" t="s">
        <v>234</v>
      </c>
      <c r="L100" s="175"/>
      <c r="M100" s="248" t="str">
        <f t="shared" si="25"/>
        <v>ELHPO3</v>
      </c>
      <c r="N100" s="349" t="s">
        <v>478</v>
      </c>
      <c r="O100" s="248" t="s">
        <v>1512</v>
      </c>
      <c r="P100" s="653">
        <v>23630429</v>
      </c>
      <c r="Q100" s="662">
        <f t="shared" si="26"/>
        <v>-1800391</v>
      </c>
      <c r="R100" s="653">
        <v>21830038</v>
      </c>
      <c r="S100" s="662">
        <v>-20076467.4579193</v>
      </c>
      <c r="T100" s="662"/>
      <c r="U100" s="662">
        <v>-21702661.3220107</v>
      </c>
      <c r="V100" s="662">
        <v>-22835540.2430197</v>
      </c>
      <c r="W100" s="654">
        <f t="shared" si="27"/>
        <v>-24205672.657600883</v>
      </c>
      <c r="X100" s="340" t="str">
        <f t="shared" si="28"/>
        <v>Exchange Revenue:  Service Charges - Electricity:  Sales - Domestic High:  Home power Bulk ELHPO3</v>
      </c>
      <c r="Y100" s="188"/>
    </row>
    <row r="101" spans="1:25" ht="16.5" customHeight="1" outlineLevel="3" x14ac:dyDescent="0.35">
      <c r="A101" s="174">
        <v>0</v>
      </c>
      <c r="B101" s="34">
        <v>0</v>
      </c>
      <c r="C101" s="36">
        <v>1</v>
      </c>
      <c r="D101" s="283" t="s">
        <v>1494</v>
      </c>
      <c r="E101" s="283" t="s">
        <v>227</v>
      </c>
      <c r="F101" s="283" t="s">
        <v>147</v>
      </c>
      <c r="G101" s="283" t="s">
        <v>1495</v>
      </c>
      <c r="H101" s="283" t="s">
        <v>1496</v>
      </c>
      <c r="I101" s="283" t="s">
        <v>1497</v>
      </c>
      <c r="J101" s="283" t="s">
        <v>136</v>
      </c>
      <c r="K101" s="33" t="s">
        <v>234</v>
      </c>
      <c r="L101" s="175"/>
      <c r="M101" s="248" t="str">
        <f t="shared" si="25"/>
        <v>ELHS03</v>
      </c>
      <c r="N101" s="349" t="s">
        <v>478</v>
      </c>
      <c r="O101" s="248" t="s">
        <v>1588</v>
      </c>
      <c r="P101" s="653">
        <v>28655235</v>
      </c>
      <c r="Q101" s="662">
        <f t="shared" si="26"/>
        <v>-2475526</v>
      </c>
      <c r="R101" s="653">
        <v>26179709</v>
      </c>
      <c r="S101" s="662">
        <v>-25416152.763165701</v>
      </c>
      <c r="T101" s="662"/>
      <c r="U101" s="662">
        <v>-27474861.136982098</v>
      </c>
      <c r="V101" s="662">
        <v>-28909048.888332602</v>
      </c>
      <c r="W101" s="654">
        <f t="shared" si="27"/>
        <v>-30643591.82163256</v>
      </c>
      <c r="X101" s="340" t="str">
        <f t="shared" si="28"/>
        <v>Exchange Revenue:  Service Charges - Electricity:  Sales - Domestic High:  Home power Bulk ELHS03</v>
      </c>
      <c r="Y101" s="188"/>
    </row>
    <row r="102" spans="1:25" ht="16.5" customHeight="1" outlineLevel="3" x14ac:dyDescent="0.35">
      <c r="A102" s="174">
        <v>0</v>
      </c>
      <c r="B102" s="34">
        <v>0</v>
      </c>
      <c r="C102" s="36">
        <v>1</v>
      </c>
      <c r="D102" s="283" t="s">
        <v>1494</v>
      </c>
      <c r="E102" s="283" t="s">
        <v>227</v>
      </c>
      <c r="F102" s="283" t="s">
        <v>148</v>
      </c>
      <c r="G102" s="283" t="s">
        <v>1495</v>
      </c>
      <c r="H102" s="283" t="s">
        <v>1496</v>
      </c>
      <c r="I102" s="283" t="s">
        <v>1497</v>
      </c>
      <c r="J102" s="283" t="s">
        <v>136</v>
      </c>
      <c r="K102" s="33" t="s">
        <v>234</v>
      </c>
      <c r="L102" s="175"/>
      <c r="M102" s="248" t="str">
        <f t="shared" si="25"/>
        <v>ELHO03</v>
      </c>
      <c r="N102" s="349" t="s">
        <v>478</v>
      </c>
      <c r="O102" s="248" t="s">
        <v>1600</v>
      </c>
      <c r="P102" s="653">
        <v>22540039</v>
      </c>
      <c r="Q102" s="662">
        <f t="shared" si="26"/>
        <v>51421</v>
      </c>
      <c r="R102" s="653">
        <v>22591460</v>
      </c>
      <c r="S102" s="662">
        <v>-19526858.039235801</v>
      </c>
      <c r="T102" s="662"/>
      <c r="U102" s="662">
        <v>-21108533.540413901</v>
      </c>
      <c r="V102" s="662">
        <v>-22210398.991223499</v>
      </c>
      <c r="W102" s="654">
        <f t="shared" si="27"/>
        <v>-23543022.930696912</v>
      </c>
      <c r="X102" s="340" t="str">
        <f t="shared" si="28"/>
        <v>Exchange Revenue:  Service Charges - Electricity:  Sales - Domestic High:  Home power Bulk ELHO03</v>
      </c>
      <c r="Y102" s="188"/>
    </row>
    <row r="103" spans="1:25" ht="16.5" customHeight="1" outlineLevel="3" x14ac:dyDescent="0.35">
      <c r="A103" s="174">
        <v>0</v>
      </c>
      <c r="B103" s="34">
        <v>0</v>
      </c>
      <c r="C103" s="36">
        <v>1</v>
      </c>
      <c r="D103" s="283" t="s">
        <v>1494</v>
      </c>
      <c r="E103" s="283" t="s">
        <v>227</v>
      </c>
      <c r="F103" s="283" t="s">
        <v>149</v>
      </c>
      <c r="G103" s="283" t="s">
        <v>1495</v>
      </c>
      <c r="H103" s="283" t="s">
        <v>1496</v>
      </c>
      <c r="I103" s="283" t="s">
        <v>1497</v>
      </c>
      <c r="J103" s="283" t="s">
        <v>136</v>
      </c>
      <c r="K103" s="33" t="s">
        <v>234</v>
      </c>
      <c r="L103" s="175"/>
      <c r="M103" s="248" t="str">
        <f t="shared" si="25"/>
        <v>CHARGE</v>
      </c>
      <c r="N103" s="349"/>
      <c r="O103" s="248" t="s">
        <v>1605</v>
      </c>
      <c r="P103" s="653">
        <v>0</v>
      </c>
      <c r="Q103" s="653">
        <f t="shared" si="26"/>
        <v>0</v>
      </c>
      <c r="R103" s="653">
        <v>0</v>
      </c>
      <c r="S103" s="662">
        <v>-11212959.681</v>
      </c>
      <c r="T103" s="662"/>
      <c r="U103" s="662">
        <v>-12121209.415161001</v>
      </c>
      <c r="V103" s="662">
        <v>-12753936.5466324</v>
      </c>
      <c r="W103" s="654">
        <f t="shared" si="27"/>
        <v>-13519172.739430344</v>
      </c>
      <c r="X103" s="340" t="str">
        <f t="shared" si="28"/>
        <v>Exchange Revenue:  Service Charges - Electricity:  Sales - Domestic High:  Home power BulkCHARGE</v>
      </c>
      <c r="Y103" s="188"/>
    </row>
    <row r="104" spans="1:25" ht="16.5" customHeight="1" outlineLevel="3" x14ac:dyDescent="0.35">
      <c r="A104" s="174">
        <v>0</v>
      </c>
      <c r="B104" s="34">
        <v>0</v>
      </c>
      <c r="C104" s="36">
        <v>1</v>
      </c>
      <c r="D104" s="283" t="s">
        <v>1494</v>
      </c>
      <c r="E104" s="283" t="s">
        <v>227</v>
      </c>
      <c r="F104" s="283" t="s">
        <v>150</v>
      </c>
      <c r="G104" s="283" t="s">
        <v>1495</v>
      </c>
      <c r="H104" s="283" t="s">
        <v>1496</v>
      </c>
      <c r="I104" s="283" t="s">
        <v>1497</v>
      </c>
      <c r="J104" s="283" t="s">
        <v>136</v>
      </c>
      <c r="K104" s="33" t="s">
        <v>234</v>
      </c>
      <c r="L104" s="175"/>
      <c r="M104" s="248" t="s">
        <v>1629</v>
      </c>
      <c r="N104" s="349"/>
      <c r="O104" s="248" t="s">
        <v>1601</v>
      </c>
      <c r="P104" s="653">
        <v>40479664</v>
      </c>
      <c r="Q104" s="662">
        <f t="shared" si="26"/>
        <v>3059154</v>
      </c>
      <c r="R104" s="653">
        <v>43538818</v>
      </c>
      <c r="S104" s="662">
        <v>-34346448.283803001</v>
      </c>
      <c r="T104" s="662"/>
      <c r="U104" s="662">
        <v>-37128510.594791003</v>
      </c>
      <c r="V104" s="662">
        <v>-39066618.847839102</v>
      </c>
      <c r="W104" s="654">
        <f t="shared" si="27"/>
        <v>-41410615.978709452</v>
      </c>
      <c r="X104" s="340"/>
      <c r="Y104" s="188"/>
    </row>
    <row r="105" spans="1:25" ht="16.5" customHeight="1" outlineLevel="3" x14ac:dyDescent="0.35">
      <c r="A105" s="174">
        <v>0</v>
      </c>
      <c r="B105" s="34">
        <v>0</v>
      </c>
      <c r="C105" s="36">
        <v>1</v>
      </c>
      <c r="D105" s="283" t="s">
        <v>1494</v>
      </c>
      <c r="E105" s="283" t="s">
        <v>227</v>
      </c>
      <c r="F105" s="283" t="s">
        <v>151</v>
      </c>
      <c r="G105" s="283" t="s">
        <v>1495</v>
      </c>
      <c r="H105" s="283" t="s">
        <v>1496</v>
      </c>
      <c r="I105" s="283" t="s">
        <v>1497</v>
      </c>
      <c r="J105" s="283" t="s">
        <v>136</v>
      </c>
      <c r="K105" s="33" t="s">
        <v>234</v>
      </c>
      <c r="L105" s="175"/>
      <c r="M105" s="248" t="s">
        <v>269</v>
      </c>
      <c r="N105" s="349" t="s">
        <v>478</v>
      </c>
      <c r="O105" s="248" t="s">
        <v>1589</v>
      </c>
      <c r="P105" s="653">
        <v>67503140</v>
      </c>
      <c r="Q105" s="662">
        <f t="shared" si="26"/>
        <v>50065991</v>
      </c>
      <c r="R105" s="653">
        <v>117569131</v>
      </c>
      <c r="S105" s="662">
        <v>-75196272.801194102</v>
      </c>
      <c r="T105" s="662"/>
      <c r="U105" s="662">
        <v>-81287170.898090795</v>
      </c>
      <c r="V105" s="662">
        <v>-85530361.218971193</v>
      </c>
      <c r="W105" s="654">
        <f t="shared" si="27"/>
        <v>-90662182.892109469</v>
      </c>
      <c r="X105" s="340" t="str">
        <f>CONCATENATE($X$37,N105,M105)</f>
        <v>Exchange Revenue:  Service Charges - Electricity:  Sales - Domestic High:  Home power Bulk ELK003</v>
      </c>
      <c r="Y105" s="188"/>
    </row>
    <row r="106" spans="1:25" s="39" customFormat="1" ht="16.5" customHeight="1" outlineLevel="3" x14ac:dyDescent="0.35">
      <c r="A106" s="174">
        <v>0</v>
      </c>
      <c r="B106" s="34">
        <v>0</v>
      </c>
      <c r="C106" s="36">
        <v>1</v>
      </c>
      <c r="D106" s="283" t="s">
        <v>1494</v>
      </c>
      <c r="E106" s="283" t="s">
        <v>228</v>
      </c>
      <c r="F106" s="283" t="s">
        <v>553</v>
      </c>
      <c r="G106" s="283" t="s">
        <v>1495</v>
      </c>
      <c r="H106" s="283" t="s">
        <v>1496</v>
      </c>
      <c r="I106" s="283" t="s">
        <v>1497</v>
      </c>
      <c r="J106" s="283" t="s">
        <v>136</v>
      </c>
      <c r="K106" s="33" t="s">
        <v>234</v>
      </c>
      <c r="L106" s="173"/>
      <c r="M106" s="248"/>
      <c r="N106" s="314"/>
      <c r="O106" s="260" t="s">
        <v>1544</v>
      </c>
      <c r="P106" s="653"/>
      <c r="Q106" s="653"/>
      <c r="R106" s="653"/>
      <c r="S106" s="662"/>
      <c r="T106" s="662"/>
      <c r="U106" s="662"/>
      <c r="V106" s="662"/>
      <c r="W106" s="653"/>
      <c r="X106" s="335"/>
      <c r="Y106" s="241"/>
    </row>
    <row r="107" spans="1:25" s="39" customFormat="1" ht="16.5" customHeight="1" outlineLevel="3" x14ac:dyDescent="0.35">
      <c r="A107" s="169">
        <v>0</v>
      </c>
      <c r="B107" s="170">
        <v>0</v>
      </c>
      <c r="C107" s="171">
        <v>1</v>
      </c>
      <c r="D107" s="283" t="s">
        <v>1494</v>
      </c>
      <c r="E107" s="283" t="s">
        <v>228</v>
      </c>
      <c r="F107" s="283" t="s">
        <v>144</v>
      </c>
      <c r="G107" s="283" t="s">
        <v>1495</v>
      </c>
      <c r="H107" s="283" t="s">
        <v>1496</v>
      </c>
      <c r="I107" s="283" t="s">
        <v>1497</v>
      </c>
      <c r="J107" s="283" t="s">
        <v>136</v>
      </c>
      <c r="K107" s="636" t="s">
        <v>234</v>
      </c>
      <c r="L107" s="173"/>
      <c r="M107" s="248" t="s">
        <v>1488</v>
      </c>
      <c r="N107" s="634" t="s">
        <v>478</v>
      </c>
      <c r="O107" s="634" t="s">
        <v>1503</v>
      </c>
      <c r="P107" s="653">
        <v>0</v>
      </c>
      <c r="Q107" s="662">
        <f t="shared" si="26"/>
        <v>384955.64</v>
      </c>
      <c r="R107" s="653">
        <v>384955.64</v>
      </c>
      <c r="S107" s="662">
        <v>-594591.86040677305</v>
      </c>
      <c r="T107" s="662"/>
      <c r="U107" s="662">
        <v>-642753.80109972204</v>
      </c>
      <c r="V107" s="662">
        <v>-676305.54951712699</v>
      </c>
      <c r="W107" s="654">
        <f>V107*(1+$W$2)</f>
        <v>-716883.88248815469</v>
      </c>
      <c r="X107" s="335" t="s">
        <v>39</v>
      </c>
      <c r="Y107" s="242" t="s">
        <v>1915</v>
      </c>
    </row>
    <row r="108" spans="1:25" s="39" customFormat="1" ht="16.5" customHeight="1" outlineLevel="3" x14ac:dyDescent="0.35">
      <c r="A108" s="169">
        <v>0</v>
      </c>
      <c r="B108" s="170">
        <v>0</v>
      </c>
      <c r="C108" s="171">
        <v>1</v>
      </c>
      <c r="D108" s="283" t="s">
        <v>1494</v>
      </c>
      <c r="E108" s="283" t="s">
        <v>228</v>
      </c>
      <c r="F108" s="283" t="s">
        <v>155</v>
      </c>
      <c r="G108" s="283" t="s">
        <v>1495</v>
      </c>
      <c r="H108" s="283" t="s">
        <v>1496</v>
      </c>
      <c r="I108" s="283" t="s">
        <v>1497</v>
      </c>
      <c r="J108" s="283" t="s">
        <v>136</v>
      </c>
      <c r="K108" s="636" t="s">
        <v>234</v>
      </c>
      <c r="L108" s="173"/>
      <c r="M108" s="248" t="s">
        <v>1488</v>
      </c>
      <c r="N108" s="634"/>
      <c r="O108" s="248" t="s">
        <v>1502</v>
      </c>
      <c r="P108" s="653">
        <v>0</v>
      </c>
      <c r="Q108" s="662">
        <f t="shared" si="26"/>
        <v>128318.55</v>
      </c>
      <c r="R108" s="653">
        <v>128318.55</v>
      </c>
      <c r="S108" s="662">
        <v>-138540.74457496099</v>
      </c>
      <c r="T108" s="662"/>
      <c r="U108" s="662">
        <v>-149762.54488553299</v>
      </c>
      <c r="V108" s="662">
        <v>-157580.14972855701</v>
      </c>
      <c r="W108" s="654">
        <f>V108*(1+$W$2)</f>
        <v>-167034.95871227043</v>
      </c>
      <c r="X108" s="335" t="s">
        <v>38</v>
      </c>
      <c r="Y108" s="242" t="s">
        <v>1916</v>
      </c>
    </row>
    <row r="109" spans="1:25" s="39" customFormat="1" ht="16.5" customHeight="1" outlineLevel="3" x14ac:dyDescent="0.35">
      <c r="A109" s="174">
        <v>0</v>
      </c>
      <c r="B109" s="34">
        <v>0</v>
      </c>
      <c r="C109" s="36">
        <v>1</v>
      </c>
      <c r="D109" s="283" t="s">
        <v>1494</v>
      </c>
      <c r="E109" s="283" t="s">
        <v>229</v>
      </c>
      <c r="F109" s="283" t="s">
        <v>553</v>
      </c>
      <c r="G109" s="283" t="s">
        <v>1495</v>
      </c>
      <c r="H109" s="283" t="s">
        <v>1496</v>
      </c>
      <c r="I109" s="283" t="s">
        <v>1497</v>
      </c>
      <c r="J109" s="283" t="s">
        <v>136</v>
      </c>
      <c r="K109" s="33" t="s">
        <v>234</v>
      </c>
      <c r="L109" s="173"/>
      <c r="M109" s="248"/>
      <c r="N109" s="314"/>
      <c r="O109" s="260" t="s">
        <v>1545</v>
      </c>
      <c r="P109" s="653"/>
      <c r="Q109" s="653"/>
      <c r="R109" s="653"/>
      <c r="S109" s="662"/>
      <c r="T109" s="662"/>
      <c r="U109" s="662"/>
      <c r="V109" s="662"/>
      <c r="W109" s="653"/>
      <c r="X109" s="335"/>
      <c r="Y109" s="241"/>
    </row>
    <row r="110" spans="1:25" ht="16.5" customHeight="1" outlineLevel="3" x14ac:dyDescent="0.35">
      <c r="A110" s="174">
        <v>0</v>
      </c>
      <c r="B110" s="34">
        <v>0</v>
      </c>
      <c r="C110" s="36">
        <v>1</v>
      </c>
      <c r="D110" s="283" t="s">
        <v>1494</v>
      </c>
      <c r="E110" s="283" t="s">
        <v>229</v>
      </c>
      <c r="F110" s="283" t="s">
        <v>144</v>
      </c>
      <c r="G110" s="283" t="s">
        <v>1495</v>
      </c>
      <c r="H110" s="283" t="s">
        <v>1496</v>
      </c>
      <c r="I110" s="283" t="s">
        <v>1497</v>
      </c>
      <c r="J110" s="283" t="s">
        <v>136</v>
      </c>
      <c r="K110" s="33" t="s">
        <v>234</v>
      </c>
      <c r="L110" s="175"/>
      <c r="M110" s="248" t="str">
        <f t="shared" ref="M110:M115" si="29">RIGHT(O110,6)</f>
        <v>CENP01</v>
      </c>
      <c r="N110" s="349" t="s">
        <v>478</v>
      </c>
      <c r="O110" s="248" t="s">
        <v>1591</v>
      </c>
      <c r="P110" s="653">
        <v>131117</v>
      </c>
      <c r="Q110" s="662">
        <f t="shared" si="26"/>
        <v>155779</v>
      </c>
      <c r="R110" s="653">
        <v>286896</v>
      </c>
      <c r="S110" s="662">
        <v>-280076.93841688801</v>
      </c>
      <c r="T110" s="662"/>
      <c r="U110" s="662">
        <v>-302763.17042865598</v>
      </c>
      <c r="V110" s="662">
        <v>-318567.40792503202</v>
      </c>
      <c r="W110" s="654">
        <f t="shared" ref="W110:W115" si="30">V110*(1+$W$2)</f>
        <v>-337681.45240053395</v>
      </c>
      <c r="X110" s="342" t="str">
        <f>CONCATENATE($X$91,N110,M110)</f>
        <v>Exchange Revenue:  Service Charges - Electricity:  Sales - Industrial (400 Volts) (Low Voltage) CENP01</v>
      </c>
      <c r="Y110" s="189"/>
    </row>
    <row r="111" spans="1:25" s="39" customFormat="1" ht="16.5" customHeight="1" outlineLevel="3" x14ac:dyDescent="0.35">
      <c r="A111" s="169">
        <v>0</v>
      </c>
      <c r="B111" s="170">
        <v>0</v>
      </c>
      <c r="C111" s="171">
        <v>1</v>
      </c>
      <c r="D111" s="283" t="s">
        <v>1494</v>
      </c>
      <c r="E111" s="283" t="s">
        <v>229</v>
      </c>
      <c r="F111" s="283" t="s">
        <v>155</v>
      </c>
      <c r="G111" s="283" t="s">
        <v>1495</v>
      </c>
      <c r="H111" s="283" t="s">
        <v>1496</v>
      </c>
      <c r="I111" s="283" t="s">
        <v>1497</v>
      </c>
      <c r="J111" s="283" t="s">
        <v>136</v>
      </c>
      <c r="K111" s="636" t="s">
        <v>234</v>
      </c>
      <c r="L111" s="173"/>
      <c r="M111" t="str">
        <f t="shared" si="29"/>
        <v>CENS01</v>
      </c>
      <c r="N111" s="349" t="s">
        <v>478</v>
      </c>
      <c r="O111" s="248" t="s">
        <v>1517</v>
      </c>
      <c r="P111" s="653">
        <v>185068</v>
      </c>
      <c r="Q111" s="662">
        <f t="shared" si="26"/>
        <v>258177</v>
      </c>
      <c r="R111" s="653">
        <v>443245</v>
      </c>
      <c r="S111" s="662">
        <v>-415901.60870212503</v>
      </c>
      <c r="T111" s="662"/>
      <c r="U111" s="662">
        <v>-449589.63900699699</v>
      </c>
      <c r="V111" s="662">
        <v>-473058.218163162</v>
      </c>
      <c r="W111" s="654">
        <f t="shared" si="30"/>
        <v>-501441.71125295176</v>
      </c>
      <c r="X111" s="341" t="s">
        <v>54</v>
      </c>
      <c r="Y111" s="244" t="s">
        <v>1917</v>
      </c>
    </row>
    <row r="112" spans="1:25" ht="16.5" customHeight="1" outlineLevel="3" x14ac:dyDescent="0.35">
      <c r="A112" s="174">
        <v>0</v>
      </c>
      <c r="B112" s="34">
        <v>0</v>
      </c>
      <c r="C112" s="36">
        <v>1</v>
      </c>
      <c r="D112" s="283" t="s">
        <v>1494</v>
      </c>
      <c r="E112" s="283" t="s">
        <v>229</v>
      </c>
      <c r="F112" s="283" t="s">
        <v>145</v>
      </c>
      <c r="G112" s="283" t="s">
        <v>1495</v>
      </c>
      <c r="H112" s="283" t="s">
        <v>1496</v>
      </c>
      <c r="I112" s="283" t="s">
        <v>1497</v>
      </c>
      <c r="J112" s="283" t="s">
        <v>136</v>
      </c>
      <c r="K112" s="33" t="s">
        <v>234</v>
      </c>
      <c r="L112" s="175"/>
      <c r="M112" s="248" t="str">
        <f t="shared" si="29"/>
        <v>CEN001</v>
      </c>
      <c r="N112" s="349"/>
      <c r="O112" s="248" t="s">
        <v>1592</v>
      </c>
      <c r="P112" s="653">
        <v>1572891</v>
      </c>
      <c r="Q112" s="662">
        <f t="shared" si="26"/>
        <v>-1229886</v>
      </c>
      <c r="R112" s="653">
        <v>343005</v>
      </c>
      <c r="S112" s="662">
        <v>-307344.54579824401</v>
      </c>
      <c r="T112" s="662"/>
      <c r="U112" s="662">
        <v>-332239.45400790201</v>
      </c>
      <c r="V112" s="662">
        <v>-349582.35350711399</v>
      </c>
      <c r="W112" s="654">
        <f t="shared" si="30"/>
        <v>-370557.29471754085</v>
      </c>
      <c r="X112" s="342" t="str">
        <f>CONCATENATE($X$111,N112,M112)</f>
        <v>Exchange Revenue:  Service Charges - Electricity:  Sales - Industrial (11 000 Volts) (High Voltage)CEN001</v>
      </c>
      <c r="Y112" s="189"/>
    </row>
    <row r="113" spans="1:25" ht="16.5" customHeight="1" outlineLevel="3" x14ac:dyDescent="0.35">
      <c r="A113" s="174">
        <v>0</v>
      </c>
      <c r="B113" s="34">
        <v>0</v>
      </c>
      <c r="C113" s="36">
        <v>1</v>
      </c>
      <c r="D113" s="283" t="s">
        <v>1494</v>
      </c>
      <c r="E113" s="283" t="s">
        <v>229</v>
      </c>
      <c r="F113" s="283" t="s">
        <v>146</v>
      </c>
      <c r="G113" s="283" t="s">
        <v>1495</v>
      </c>
      <c r="H113" s="283" t="s">
        <v>1496</v>
      </c>
      <c r="I113" s="283" t="s">
        <v>1497</v>
      </c>
      <c r="J113" s="283" t="s">
        <v>136</v>
      </c>
      <c r="K113" s="33" t="s">
        <v>234</v>
      </c>
      <c r="L113" s="175"/>
      <c r="M113" s="248" t="str">
        <f t="shared" si="29"/>
        <v>CNHPO1</v>
      </c>
      <c r="N113" s="349" t="s">
        <v>478</v>
      </c>
      <c r="O113" s="248" t="s">
        <v>1516</v>
      </c>
      <c r="P113" s="653">
        <v>28064</v>
      </c>
      <c r="Q113" s="662">
        <f t="shared" si="26"/>
        <v>119022</v>
      </c>
      <c r="R113" s="653">
        <v>147086</v>
      </c>
      <c r="S113" s="662">
        <v>-192411.03245711399</v>
      </c>
      <c r="T113" s="662"/>
      <c r="U113" s="662">
        <v>-207996.32608614</v>
      </c>
      <c r="V113" s="662">
        <v>-218853.734307837</v>
      </c>
      <c r="W113" s="654">
        <f t="shared" si="30"/>
        <v>-231984.95836630723</v>
      </c>
      <c r="X113" s="342" t="str">
        <f>CONCATENATE($X$91,N113,M113)</f>
        <v>Exchange Revenue:  Service Charges - Electricity:  Sales - Industrial (400 Volts) (Low Voltage) CNHPO1</v>
      </c>
      <c r="Y113" s="189"/>
    </row>
    <row r="114" spans="1:25" ht="16.5" customHeight="1" outlineLevel="3" x14ac:dyDescent="0.35">
      <c r="A114" s="174">
        <v>0</v>
      </c>
      <c r="B114" s="34">
        <v>0</v>
      </c>
      <c r="C114" s="36">
        <v>1</v>
      </c>
      <c r="D114" s="283" t="s">
        <v>1494</v>
      </c>
      <c r="E114" s="283" t="s">
        <v>229</v>
      </c>
      <c r="F114" s="283" t="s">
        <v>147</v>
      </c>
      <c r="G114" s="283" t="s">
        <v>1495</v>
      </c>
      <c r="H114" s="283" t="s">
        <v>1496</v>
      </c>
      <c r="I114" s="283" t="s">
        <v>1497</v>
      </c>
      <c r="J114" s="283" t="s">
        <v>136</v>
      </c>
      <c r="K114" s="33" t="s">
        <v>234</v>
      </c>
      <c r="L114" s="175"/>
      <c r="M114" s="248" t="str">
        <f t="shared" si="29"/>
        <v>CNHS01</v>
      </c>
      <c r="N114" s="349" t="s">
        <v>478</v>
      </c>
      <c r="O114" s="248" t="s">
        <v>1590</v>
      </c>
      <c r="P114" s="653">
        <v>45365</v>
      </c>
      <c r="Q114" s="662">
        <f t="shared" si="26"/>
        <v>125431</v>
      </c>
      <c r="R114" s="653">
        <v>170796</v>
      </c>
      <c r="S114" s="662">
        <v>-230906.674068405</v>
      </c>
      <c r="T114" s="662"/>
      <c r="U114" s="662">
        <v>-249610.11466794601</v>
      </c>
      <c r="V114" s="662">
        <v>-262639.762653613</v>
      </c>
      <c r="W114" s="654">
        <f t="shared" si="30"/>
        <v>-278398.14841282979</v>
      </c>
      <c r="X114" s="342" t="str">
        <f>CONCATENATE($X$91,N114,M114)</f>
        <v>Exchange Revenue:  Service Charges - Electricity:  Sales - Industrial (400 Volts) (Low Voltage) CNHS01</v>
      </c>
      <c r="Y114" s="189"/>
    </row>
    <row r="115" spans="1:25" ht="16.5" customHeight="1" outlineLevel="3" x14ac:dyDescent="0.35">
      <c r="A115" s="174">
        <v>0</v>
      </c>
      <c r="B115" s="34">
        <v>0</v>
      </c>
      <c r="C115" s="36">
        <v>1</v>
      </c>
      <c r="D115" s="283" t="s">
        <v>1494</v>
      </c>
      <c r="E115" s="283" t="s">
        <v>229</v>
      </c>
      <c r="F115" s="283" t="s">
        <v>149</v>
      </c>
      <c r="G115" s="283" t="s">
        <v>1495</v>
      </c>
      <c r="H115" s="283" t="s">
        <v>1496</v>
      </c>
      <c r="I115" s="283" t="s">
        <v>1497</v>
      </c>
      <c r="J115" s="283" t="s">
        <v>136</v>
      </c>
      <c r="K115" s="33" t="s">
        <v>234</v>
      </c>
      <c r="L115" s="175"/>
      <c r="M115" s="248" t="str">
        <f t="shared" si="29"/>
        <v>CNHO01</v>
      </c>
      <c r="N115" s="349"/>
      <c r="O115" s="248" t="s">
        <v>1593</v>
      </c>
      <c r="P115" s="653">
        <v>34612</v>
      </c>
      <c r="Q115" s="662">
        <f t="shared" si="26"/>
        <v>96690</v>
      </c>
      <c r="R115" s="653">
        <v>131302</v>
      </c>
      <c r="S115" s="662">
        <v>-157248.53660010299</v>
      </c>
      <c r="T115" s="662"/>
      <c r="U115" s="662">
        <v>-169985.668064711</v>
      </c>
      <c r="V115" s="662">
        <v>-178858.919937689</v>
      </c>
      <c r="W115" s="654">
        <f t="shared" si="30"/>
        <v>-189590.45513395037</v>
      </c>
      <c r="X115" s="342" t="str">
        <f>CONCATENATE($X$91,N115,M115)</f>
        <v>Exchange Revenue:  Service Charges - Electricity:  Sales - Industrial (400 Volts) (Low Voltage)CNHO01</v>
      </c>
      <c r="Y115" s="189"/>
    </row>
    <row r="116" spans="1:25" s="39" customFormat="1" ht="16.5" customHeight="1" outlineLevel="3" x14ac:dyDescent="0.35">
      <c r="A116" s="174">
        <v>0</v>
      </c>
      <c r="B116" s="34">
        <v>0</v>
      </c>
      <c r="C116" s="36">
        <v>1</v>
      </c>
      <c r="D116" s="283" t="s">
        <v>1494</v>
      </c>
      <c r="E116" s="283" t="s">
        <v>230</v>
      </c>
      <c r="F116" s="283" t="s">
        <v>553</v>
      </c>
      <c r="G116" s="283" t="s">
        <v>1495</v>
      </c>
      <c r="H116" s="283" t="s">
        <v>1496</v>
      </c>
      <c r="I116" s="283" t="s">
        <v>1497</v>
      </c>
      <c r="J116" s="283" t="s">
        <v>136</v>
      </c>
      <c r="K116" s="33" t="s">
        <v>234</v>
      </c>
      <c r="L116" s="173"/>
      <c r="M116" s="248"/>
      <c r="N116" s="314"/>
      <c r="O116" s="260" t="s">
        <v>1546</v>
      </c>
      <c r="P116" s="653"/>
      <c r="Q116" s="653"/>
      <c r="R116" s="653"/>
      <c r="S116" s="662"/>
      <c r="T116" s="662"/>
      <c r="U116" s="662"/>
      <c r="V116" s="662"/>
      <c r="W116" s="653"/>
      <c r="X116" s="335"/>
      <c r="Y116" s="241"/>
    </row>
    <row r="117" spans="1:25" ht="16.5" customHeight="1" outlineLevel="3" x14ac:dyDescent="0.35">
      <c r="A117" s="174">
        <v>0</v>
      </c>
      <c r="B117" s="34">
        <v>0</v>
      </c>
      <c r="C117" s="36">
        <v>1</v>
      </c>
      <c r="D117" s="283" t="s">
        <v>1494</v>
      </c>
      <c r="E117" s="283" t="s">
        <v>230</v>
      </c>
      <c r="F117" s="283" t="s">
        <v>144</v>
      </c>
      <c r="G117" s="283" t="s">
        <v>1495</v>
      </c>
      <c r="H117" s="283" t="s">
        <v>1496</v>
      </c>
      <c r="I117" s="283" t="s">
        <v>1497</v>
      </c>
      <c r="J117" s="283" t="s">
        <v>136</v>
      </c>
      <c r="K117" s="33" t="s">
        <v>234</v>
      </c>
      <c r="L117" s="175"/>
      <c r="M117" s="248" t="s">
        <v>489</v>
      </c>
      <c r="N117" s="634" t="s">
        <v>478</v>
      </c>
      <c r="O117" s="248" t="s">
        <v>1594</v>
      </c>
      <c r="P117" s="653">
        <v>1824830</v>
      </c>
      <c r="Q117" s="662">
        <f t="shared" si="26"/>
        <v>-98946</v>
      </c>
      <c r="R117" s="653">
        <v>1725884</v>
      </c>
      <c r="S117" s="662">
        <v>-1355405.0831580099</v>
      </c>
      <c r="T117" s="662"/>
      <c r="U117" s="662">
        <v>-1465192.8948938099</v>
      </c>
      <c r="V117" s="662">
        <v>-1541675.96400726</v>
      </c>
      <c r="W117" s="654">
        <f t="shared" ref="W117:W119" si="31">V117*(1+$W$2)</f>
        <v>-1634176.5218476958</v>
      </c>
      <c r="X117" s="342" t="str">
        <f t="shared" ref="X117:X122" si="32">CONCATENATE($X$111,N117,M117)</f>
        <v>Exchange Revenue:  Service Charges - Electricity:  Sales - Industrial (11 000 Volts) (High Voltage) MSP01</v>
      </c>
      <c r="Y117" s="189"/>
    </row>
    <row r="118" spans="1:25" ht="16.5" customHeight="1" outlineLevel="3" x14ac:dyDescent="0.35">
      <c r="A118" s="174">
        <v>0</v>
      </c>
      <c r="B118" s="34">
        <v>0</v>
      </c>
      <c r="C118" s="36">
        <v>1</v>
      </c>
      <c r="D118" s="283" t="s">
        <v>1494</v>
      </c>
      <c r="E118" s="283" t="s">
        <v>230</v>
      </c>
      <c r="F118" s="283" t="s">
        <v>155</v>
      </c>
      <c r="G118" s="283" t="s">
        <v>1495</v>
      </c>
      <c r="H118" s="283" t="s">
        <v>1496</v>
      </c>
      <c r="I118" s="283" t="s">
        <v>1497</v>
      </c>
      <c r="J118" s="283" t="s">
        <v>136</v>
      </c>
      <c r="K118" s="33" t="s">
        <v>234</v>
      </c>
      <c r="L118" s="175"/>
      <c r="M118" s="248" t="s">
        <v>487</v>
      </c>
      <c r="N118" s="634" t="s">
        <v>478</v>
      </c>
      <c r="O118" s="248" t="s">
        <v>1595</v>
      </c>
      <c r="P118" s="653">
        <v>2817413</v>
      </c>
      <c r="Q118" s="662">
        <f t="shared" si="26"/>
        <v>-164961</v>
      </c>
      <c r="R118" s="653">
        <v>2652452</v>
      </c>
      <c r="S118" s="662">
        <v>-2116691.2907886999</v>
      </c>
      <c r="T118" s="662"/>
      <c r="U118" s="662">
        <v>-2288143.28534259</v>
      </c>
      <c r="V118" s="662">
        <v>-2407584.36483747</v>
      </c>
      <c r="W118" s="654">
        <f t="shared" si="31"/>
        <v>-2552039.4267277182</v>
      </c>
      <c r="X118" s="342" t="str">
        <f t="shared" si="32"/>
        <v>Exchange Revenue:  Service Charges - Electricity:  Sales - Industrial (11 000 Volts) (High Voltage) MSS01</v>
      </c>
      <c r="Y118" s="189"/>
    </row>
    <row r="119" spans="1:25" ht="16.5" customHeight="1" outlineLevel="3" x14ac:dyDescent="0.35">
      <c r="A119" s="174">
        <v>0</v>
      </c>
      <c r="B119" s="34">
        <v>0</v>
      </c>
      <c r="C119" s="36">
        <v>1</v>
      </c>
      <c r="D119" s="283" t="s">
        <v>1494</v>
      </c>
      <c r="E119" s="283" t="s">
        <v>230</v>
      </c>
      <c r="F119" s="283" t="s">
        <v>145</v>
      </c>
      <c r="G119" s="283" t="s">
        <v>1495</v>
      </c>
      <c r="H119" s="283" t="s">
        <v>1496</v>
      </c>
      <c r="I119" s="283" t="s">
        <v>1497</v>
      </c>
      <c r="J119" s="283" t="s">
        <v>136</v>
      </c>
      <c r="K119" s="33" t="s">
        <v>234</v>
      </c>
      <c r="L119" s="175"/>
      <c r="M119" s="248" t="s">
        <v>480</v>
      </c>
      <c r="N119" s="634" t="s">
        <v>478</v>
      </c>
      <c r="O119" s="248" t="s">
        <v>1597</v>
      </c>
      <c r="P119" s="653">
        <v>3322502</v>
      </c>
      <c r="Q119" s="662">
        <f t="shared" si="26"/>
        <v>-426735</v>
      </c>
      <c r="R119" s="653">
        <v>2895767</v>
      </c>
      <c r="S119" s="662">
        <v>-2277693.7138118702</v>
      </c>
      <c r="T119" s="662"/>
      <c r="U119" s="662">
        <v>-2462186.9046306401</v>
      </c>
      <c r="V119" s="662">
        <v>-2590713.0610523601</v>
      </c>
      <c r="W119" s="654">
        <f t="shared" si="31"/>
        <v>-2746155.8447155016</v>
      </c>
      <c r="X119" s="342" t="str">
        <f t="shared" si="32"/>
        <v>Exchange Revenue:  Service Charges - Electricity:  Sales - Industrial (11 000 Volts) (High Voltage) MSO01</v>
      </c>
      <c r="Y119" s="189"/>
    </row>
    <row r="120" spans="1:25" ht="16.5" customHeight="1" outlineLevel="3" x14ac:dyDescent="0.35">
      <c r="A120" s="174">
        <v>0</v>
      </c>
      <c r="B120" s="34">
        <v>0</v>
      </c>
      <c r="C120" s="36">
        <v>1</v>
      </c>
      <c r="D120" s="283" t="s">
        <v>1494</v>
      </c>
      <c r="E120" s="283" t="s">
        <v>230</v>
      </c>
      <c r="F120" s="283" t="s">
        <v>146</v>
      </c>
      <c r="G120" s="283" t="s">
        <v>1495</v>
      </c>
      <c r="H120" s="283" t="s">
        <v>1496</v>
      </c>
      <c r="I120" s="283" t="s">
        <v>1497</v>
      </c>
      <c r="J120" s="283" t="s">
        <v>136</v>
      </c>
      <c r="K120" s="33" t="s">
        <v>234</v>
      </c>
      <c r="L120" s="175"/>
      <c r="M120" s="248" t="str">
        <f t="shared" ref="M120:M121" si="33">RIGHT(O120,6)</f>
        <v>MHP001</v>
      </c>
      <c r="N120" s="349" t="s">
        <v>478</v>
      </c>
      <c r="O120" s="248" t="s">
        <v>1596</v>
      </c>
      <c r="P120" s="653">
        <v>1205628</v>
      </c>
      <c r="Q120" s="662">
        <f t="shared" si="26"/>
        <v>-665107</v>
      </c>
      <c r="R120" s="653">
        <v>540521</v>
      </c>
      <c r="S120" s="662">
        <v>-568239.36991858506</v>
      </c>
      <c r="T120" s="662"/>
      <c r="U120" s="662">
        <v>-614266.75888198998</v>
      </c>
      <c r="V120" s="662">
        <v>-646331.48369562998</v>
      </c>
      <c r="W120" s="654">
        <f>V120*(1+$W$2)</f>
        <v>-685111.37271736783</v>
      </c>
      <c r="X120" s="342" t="str">
        <f t="shared" si="32"/>
        <v>Exchange Revenue:  Service Charges - Electricity:  Sales - Industrial (11 000 Volts) (High Voltage) MHP001</v>
      </c>
      <c r="Y120" s="189"/>
    </row>
    <row r="121" spans="1:25" ht="16.5" customHeight="1" outlineLevel="3" x14ac:dyDescent="0.35">
      <c r="A121" s="174">
        <v>0</v>
      </c>
      <c r="B121" s="34">
        <v>0</v>
      </c>
      <c r="C121" s="36">
        <v>1</v>
      </c>
      <c r="D121" s="283" t="s">
        <v>1494</v>
      </c>
      <c r="E121" s="283" t="s">
        <v>230</v>
      </c>
      <c r="F121" s="283" t="s">
        <v>147</v>
      </c>
      <c r="G121" s="283" t="s">
        <v>1495</v>
      </c>
      <c r="H121" s="283" t="s">
        <v>1496</v>
      </c>
      <c r="I121" s="283" t="s">
        <v>1497</v>
      </c>
      <c r="J121" s="283" t="s">
        <v>136</v>
      </c>
      <c r="K121" s="33" t="s">
        <v>234</v>
      </c>
      <c r="L121" s="175"/>
      <c r="M121" s="248" t="str">
        <f t="shared" si="33"/>
        <v>MHS001</v>
      </c>
      <c r="N121" s="349" t="s">
        <v>478</v>
      </c>
      <c r="O121" s="248" t="s">
        <v>1598</v>
      </c>
      <c r="P121" s="653">
        <v>1581742</v>
      </c>
      <c r="Q121" s="662">
        <f t="shared" si="26"/>
        <v>-842284</v>
      </c>
      <c r="R121" s="653">
        <v>739458</v>
      </c>
      <c r="S121" s="662">
        <v>-797973.54375115305</v>
      </c>
      <c r="T121" s="662"/>
      <c r="U121" s="662">
        <v>-862609.40079499595</v>
      </c>
      <c r="V121" s="662">
        <v>-907637.611516495</v>
      </c>
      <c r="W121" s="654">
        <f>V121*(1+$W$2)</f>
        <v>-962095.86820748472</v>
      </c>
      <c r="X121" s="342" t="str">
        <f t="shared" si="32"/>
        <v>Exchange Revenue:  Service Charges - Electricity:  Sales - Industrial (11 000 Volts) (High Voltage) MHS001</v>
      </c>
      <c r="Y121" s="189"/>
    </row>
    <row r="122" spans="1:25" ht="16.5" customHeight="1" outlineLevel="3" x14ac:dyDescent="0.35">
      <c r="A122" s="174">
        <v>0</v>
      </c>
      <c r="B122" s="34">
        <v>0</v>
      </c>
      <c r="C122" s="36">
        <v>1</v>
      </c>
      <c r="D122" s="283" t="s">
        <v>1494</v>
      </c>
      <c r="E122" s="283" t="s">
        <v>230</v>
      </c>
      <c r="F122" s="283" t="s">
        <v>148</v>
      </c>
      <c r="G122" s="283" t="s">
        <v>1495</v>
      </c>
      <c r="H122" s="283" t="s">
        <v>1496</v>
      </c>
      <c r="I122" s="283" t="s">
        <v>1497</v>
      </c>
      <c r="J122" s="283" t="s">
        <v>136</v>
      </c>
      <c r="K122" s="33" t="s">
        <v>234</v>
      </c>
      <c r="L122" s="175"/>
      <c r="M122" s="248" t="str">
        <f>RIGHT(O122,6)</f>
        <v>MHO001</v>
      </c>
      <c r="N122" s="349" t="s">
        <v>478</v>
      </c>
      <c r="O122" s="248" t="s">
        <v>1599</v>
      </c>
      <c r="P122" s="653">
        <v>1829652</v>
      </c>
      <c r="Q122" s="662">
        <v>-1066433</v>
      </c>
      <c r="R122" s="653">
        <v>763219</v>
      </c>
      <c r="S122" s="662">
        <v>-772859.447989112</v>
      </c>
      <c r="T122" s="662"/>
      <c r="U122" s="662">
        <v>-835461.06327623001</v>
      </c>
      <c r="V122" s="662">
        <v>-879072.13077924901</v>
      </c>
      <c r="W122" s="654">
        <f>V122*(1+$W$2)</f>
        <v>-931816.45862600405</v>
      </c>
      <c r="X122" s="342" t="str">
        <f t="shared" si="32"/>
        <v>Exchange Revenue:  Service Charges - Electricity:  Sales - Industrial (11 000 Volts) (High Voltage) MHO001</v>
      </c>
      <c r="Y122" s="189"/>
    </row>
    <row r="123" spans="1:25" ht="16.5" customHeight="1" outlineLevel="3" x14ac:dyDescent="0.35">
      <c r="A123" s="174"/>
      <c r="B123" s="34"/>
      <c r="C123" s="36"/>
      <c r="D123" s="283"/>
      <c r="E123" s="283"/>
      <c r="F123" s="283"/>
      <c r="G123" s="283"/>
      <c r="H123" s="283"/>
      <c r="I123" s="283"/>
      <c r="J123" s="283"/>
      <c r="K123" s="33"/>
      <c r="L123" s="175"/>
      <c r="M123" s="248"/>
      <c r="N123" s="634"/>
      <c r="O123" s="248"/>
      <c r="P123" s="653"/>
      <c r="Q123" s="653"/>
      <c r="R123" s="653"/>
      <c r="S123" s="653"/>
      <c r="T123" s="653"/>
      <c r="U123" s="653"/>
      <c r="V123" s="654"/>
      <c r="W123" s="654"/>
      <c r="X123" s="336"/>
      <c r="Y123" s="186"/>
    </row>
    <row r="124" spans="1:25" ht="16.5" customHeight="1" outlineLevel="3" x14ac:dyDescent="0.35">
      <c r="A124" s="174"/>
      <c r="B124" s="34"/>
      <c r="C124" s="36"/>
      <c r="D124" s="34"/>
      <c r="E124" s="38"/>
      <c r="F124" s="36"/>
      <c r="G124" s="35"/>
      <c r="H124" s="34"/>
      <c r="I124" s="34"/>
      <c r="J124" s="34"/>
      <c r="K124" s="33"/>
      <c r="L124" s="175"/>
      <c r="M124" s="313"/>
      <c r="N124" s="37" t="s">
        <v>478</v>
      </c>
      <c r="O124" s="37"/>
      <c r="P124" s="653"/>
      <c r="Q124" s="653"/>
      <c r="R124" s="653"/>
      <c r="S124" s="653"/>
      <c r="T124" s="653"/>
      <c r="U124" s="653"/>
      <c r="V124" s="654"/>
      <c r="W124" s="654"/>
      <c r="X124" s="343"/>
      <c r="Y124" s="190" t="e">
        <v>#N/A</v>
      </c>
    </row>
    <row r="125" spans="1:25" ht="16.5" customHeight="1" outlineLevel="3" thickBot="1" x14ac:dyDescent="0.4">
      <c r="A125" s="174"/>
      <c r="B125" s="34"/>
      <c r="C125" s="36"/>
      <c r="D125" s="34"/>
      <c r="E125" s="38"/>
      <c r="F125" s="36"/>
      <c r="G125" s="35"/>
      <c r="H125" s="34"/>
      <c r="I125" s="34"/>
      <c r="J125" s="34"/>
      <c r="K125" s="33"/>
      <c r="L125" s="175"/>
      <c r="M125" s="313"/>
      <c r="N125" s="37" t="s">
        <v>478</v>
      </c>
      <c r="O125" s="37"/>
      <c r="P125" s="653"/>
      <c r="Q125" s="653"/>
      <c r="R125" s="653"/>
      <c r="S125" s="653"/>
      <c r="T125" s="653"/>
      <c r="U125" s="653"/>
      <c r="V125" s="654"/>
      <c r="W125" s="654"/>
      <c r="X125" s="343"/>
      <c r="Y125" s="190" t="e">
        <v>#N/A</v>
      </c>
    </row>
    <row r="126" spans="1:25" ht="16.5" customHeight="1" outlineLevel="3" thickBot="1" x14ac:dyDescent="0.4">
      <c r="A126" s="176"/>
      <c r="B126" s="177"/>
      <c r="C126" s="178"/>
      <c r="D126" s="177"/>
      <c r="E126" s="179"/>
      <c r="F126" s="178"/>
      <c r="G126" s="179"/>
      <c r="H126" s="177"/>
      <c r="I126" s="177"/>
      <c r="J126" s="177"/>
      <c r="K126" s="180"/>
      <c r="L126" s="181"/>
      <c r="M126" s="184"/>
      <c r="N126" s="180"/>
      <c r="O126" s="180"/>
      <c r="P126" s="656">
        <f>SUM(P13:P123)</f>
        <v>2381620323</v>
      </c>
      <c r="Q126" s="656">
        <f>SUM(Q13:Q123)</f>
        <v>199999999.97000003</v>
      </c>
      <c r="R126" s="656">
        <v>2581620322.9699998</v>
      </c>
      <c r="S126" s="656">
        <v>-2665892487.4661899</v>
      </c>
      <c r="T126" s="656"/>
      <c r="U126" s="657">
        <v>-2881829778.9509501</v>
      </c>
      <c r="V126" s="657">
        <v>-3034402049.7850099</v>
      </c>
      <c r="W126" s="657">
        <f t="shared" ref="W126" si="34">SUM(W13:W123)</f>
        <v>-3216659019.2420292</v>
      </c>
      <c r="X126" s="332" t="str">
        <f>"SUB TOTAL : "&amp;X10</f>
        <v>SUB TOTAL : SERVICE CHARGES</v>
      </c>
      <c r="Y126" s="191" t="str">
        <f>X126</f>
        <v>SUB TOTAL : SERVICE CHARGES</v>
      </c>
    </row>
    <row r="127" spans="1:25" ht="16.5" customHeight="1" outlineLevel="1" x14ac:dyDescent="0.35"/>
    <row r="130" spans="15:23" x14ac:dyDescent="0.35">
      <c r="O130" t="s">
        <v>1337</v>
      </c>
      <c r="P130" s="658">
        <f>+P126</f>
        <v>2381620323</v>
      </c>
      <c r="Q130" s="658"/>
      <c r="R130" s="658">
        <f>+R126</f>
        <v>2581620322.9699998</v>
      </c>
      <c r="S130" s="658">
        <f>S4</f>
        <v>2684816551.397512</v>
      </c>
      <c r="T130" s="658"/>
      <c r="U130" s="658">
        <f t="shared" ref="U130:W130" si="35">U4</f>
        <v>2902286692.060708</v>
      </c>
      <c r="V130" s="658">
        <f t="shared" si="35"/>
        <v>3055926813.7590947</v>
      </c>
      <c r="W130" s="658">
        <f t="shared" si="35"/>
        <v>-3193842769.4294991</v>
      </c>
    </row>
    <row r="131" spans="15:23" x14ac:dyDescent="0.35">
      <c r="O131" t="s">
        <v>1336</v>
      </c>
      <c r="P131" s="658"/>
      <c r="Q131" s="658"/>
      <c r="R131" s="658"/>
      <c r="S131" s="658">
        <f>+'Tariff Rand Values Old'!V100</f>
        <v>3598050249.0225883</v>
      </c>
      <c r="T131" s="658"/>
      <c r="U131" s="658">
        <f>+'Tariff Rand Values Old'!V111</f>
        <v>3812586259.5960436</v>
      </c>
      <c r="V131" s="658">
        <f>+'Tariff Rand Values Old'!V119</f>
        <v>4143230301.4987674</v>
      </c>
      <c r="W131" s="658">
        <f>+'Tariff Rand Values Old'!V127</f>
        <v>4401767872.3122902</v>
      </c>
    </row>
    <row r="132" spans="15:23" ht="15" thickBot="1" x14ac:dyDescent="0.4">
      <c r="O132" t="s">
        <v>1338</v>
      </c>
      <c r="P132" s="659"/>
      <c r="Q132" s="659"/>
      <c r="R132" s="659"/>
      <c r="S132" s="659">
        <f>S130-S131</f>
        <v>-913233697.62507629</v>
      </c>
      <c r="T132" s="659"/>
      <c r="U132" s="659">
        <f t="shared" ref="U132:W132" si="36">U130-U131</f>
        <v>-910299567.53533554</v>
      </c>
      <c r="V132" s="659">
        <f t="shared" si="36"/>
        <v>-1087303487.7396727</v>
      </c>
      <c r="W132" s="659">
        <f t="shared" si="36"/>
        <v>-7595610641.7417889</v>
      </c>
    </row>
    <row r="133" spans="15:23" ht="15" thickTop="1" x14ac:dyDescent="0.35">
      <c r="P133" s="660"/>
      <c r="Q133" s="660"/>
      <c r="R133" s="660"/>
      <c r="S133" s="660"/>
      <c r="T133" s="660"/>
      <c r="U133" s="603"/>
      <c r="V133" s="639"/>
      <c r="W133" s="639"/>
    </row>
    <row r="134" spans="15:23" x14ac:dyDescent="0.35">
      <c r="O134" s="39"/>
      <c r="P134" s="660"/>
      <c r="Q134" s="660"/>
      <c r="R134" s="660"/>
      <c r="S134" s="660"/>
      <c r="T134" s="660"/>
      <c r="U134" s="660"/>
      <c r="V134" s="639"/>
      <c r="W134" s="639"/>
    </row>
    <row r="135" spans="15:23" x14ac:dyDescent="0.35">
      <c r="P135" s="603"/>
      <c r="Q135" s="603"/>
      <c r="R135" s="603"/>
      <c r="S135" s="603"/>
      <c r="T135" s="603"/>
      <c r="U135" s="603"/>
      <c r="V135" s="639"/>
      <c r="W135" s="639"/>
    </row>
    <row r="136" spans="15:23" x14ac:dyDescent="0.35">
      <c r="P136" s="660"/>
      <c r="Q136" s="660"/>
      <c r="R136" s="660"/>
      <c r="S136" s="660"/>
      <c r="T136" s="660"/>
      <c r="U136" s="660"/>
      <c r="V136" s="639"/>
      <c r="W136" s="639"/>
    </row>
    <row r="137" spans="15:23" x14ac:dyDescent="0.35">
      <c r="P137" s="603"/>
      <c r="Q137" s="603"/>
      <c r="R137" s="603"/>
      <c r="S137" s="603"/>
      <c r="T137" s="603"/>
      <c r="U137" s="603"/>
      <c r="V137" s="639"/>
      <c r="W137" s="639"/>
    </row>
    <row r="138" spans="15:23" x14ac:dyDescent="0.35">
      <c r="P138" s="660"/>
      <c r="Q138" s="660"/>
      <c r="R138" s="660"/>
      <c r="S138" s="660"/>
      <c r="T138" s="660"/>
      <c r="U138" s="603"/>
      <c r="V138" s="639"/>
      <c r="W138" s="639"/>
    </row>
    <row r="139" spans="15:23" x14ac:dyDescent="0.35">
      <c r="O139" t="s">
        <v>1491</v>
      </c>
      <c r="P139" s="611">
        <f t="shared" ref="P139:R139" si="37">+P13+P14+P19+P20+P58+P59</f>
        <v>833543479</v>
      </c>
      <c r="Q139" s="611"/>
      <c r="R139" s="611">
        <f t="shared" si="37"/>
        <v>944884855.36000001</v>
      </c>
      <c r="S139" s="611">
        <f>+S13+S14+S19+S20+S58+S59</f>
        <v>-955905415.05136502</v>
      </c>
      <c r="T139" s="611"/>
      <c r="U139" s="611">
        <f>+U13+U14+U19+U20+U58+U59</f>
        <v>-1033333753.6705259</v>
      </c>
      <c r="V139" s="611">
        <f>+V13+V14+V19+V20+V58+V59</f>
        <v>-1089414531.9849458</v>
      </c>
      <c r="W139" s="611">
        <f>+W13+W14+W19+W20+W58+W59</f>
        <v>-1154972250.3739603</v>
      </c>
    </row>
    <row r="140" spans="15:23" x14ac:dyDescent="0.35">
      <c r="P140" s="603"/>
      <c r="Q140" s="603"/>
      <c r="R140" s="603"/>
      <c r="S140" s="603"/>
      <c r="T140" s="603"/>
      <c r="U140" s="603"/>
      <c r="V140" s="603"/>
      <c r="W140" s="603"/>
    </row>
    <row r="141" spans="15:23" x14ac:dyDescent="0.35">
      <c r="O141" t="s">
        <v>1492</v>
      </c>
      <c r="P141" s="603">
        <f t="shared" ref="P141:R141" si="38">SUM(P61:P122,P22:P56,P16:P17)</f>
        <v>1548076844</v>
      </c>
      <c r="Q141" s="603"/>
      <c r="R141" s="603">
        <f t="shared" si="38"/>
        <v>1636735467.6100001</v>
      </c>
      <c r="S141" s="603">
        <f>SUM(S61:S122,S22:S56,S16:S17)</f>
        <v>-1709987072.4148269</v>
      </c>
      <c r="T141" s="603"/>
      <c r="U141" s="603">
        <f>SUM(U61:U122,U22:U56,U16:U17)</f>
        <v>-1848496025.2804272</v>
      </c>
      <c r="V141" s="603">
        <f>SUM(V61:V122,V22:V56,V16:V17)</f>
        <v>-1944987517.8000648</v>
      </c>
      <c r="W141" s="603">
        <f>SUM(W61:W122,W22:W56,W16:W17)</f>
        <v>-2061686768.8680696</v>
      </c>
    </row>
    <row r="142" spans="15:23" x14ac:dyDescent="0.35">
      <c r="P142" s="603"/>
      <c r="Q142" s="603"/>
      <c r="R142" s="603"/>
      <c r="S142" s="603"/>
      <c r="T142" s="603"/>
      <c r="U142" s="603"/>
      <c r="V142" s="603"/>
      <c r="W142" s="603"/>
    </row>
    <row r="143" spans="15:23" ht="15" thickBot="1" x14ac:dyDescent="0.4">
      <c r="O143" t="s">
        <v>295</v>
      </c>
      <c r="P143" s="621">
        <f t="shared" ref="P143:R143" si="39">SUM(P139:P141)</f>
        <v>2381620323</v>
      </c>
      <c r="Q143" s="621"/>
      <c r="R143" s="621">
        <f t="shared" si="39"/>
        <v>2581620322.9700003</v>
      </c>
      <c r="S143" s="621">
        <f>SUM(S139:S141)</f>
        <v>-2665892487.4661918</v>
      </c>
      <c r="T143" s="621"/>
      <c r="U143" s="621">
        <f>SUM(U139:U141)</f>
        <v>-2881829778.950953</v>
      </c>
      <c r="V143" s="621">
        <f>SUM(V139:V141)</f>
        <v>-3034402049.7850103</v>
      </c>
      <c r="W143" s="621">
        <f>SUM(W139:W141)</f>
        <v>-3216659019.2420301</v>
      </c>
    </row>
    <row r="145" spans="15:23" x14ac:dyDescent="0.35">
      <c r="O145" t="s">
        <v>298</v>
      </c>
      <c r="P145" s="603">
        <f t="shared" ref="P145:R145" si="40">+P8</f>
        <v>11391512.25</v>
      </c>
      <c r="Q145" s="603"/>
      <c r="R145" s="603">
        <f t="shared" si="40"/>
        <v>11391512.25</v>
      </c>
      <c r="S145" s="603">
        <f>+S8</f>
        <v>18924063.931318797</v>
      </c>
      <c r="T145" s="603"/>
      <c r="U145" s="603">
        <f>+U8</f>
        <v>20456913.10975562</v>
      </c>
      <c r="V145" s="603">
        <f>+V8</f>
        <v>21524763.974084865</v>
      </c>
      <c r="W145" s="603">
        <f>+W8</f>
        <v>22816249.812529959</v>
      </c>
    </row>
    <row r="146" spans="15:23" x14ac:dyDescent="0.35">
      <c r="P146" s="603"/>
      <c r="Q146" s="603"/>
      <c r="R146" s="603"/>
      <c r="S146" s="603"/>
      <c r="T146" s="603"/>
      <c r="U146" s="603"/>
      <c r="V146" s="603"/>
      <c r="W146" s="603"/>
    </row>
    <row r="147" spans="15:23" ht="15" thickBot="1" x14ac:dyDescent="0.4">
      <c r="P147" s="661">
        <f t="shared" ref="P147:R147" si="41">P143+P145</f>
        <v>2393011835.25</v>
      </c>
      <c r="Q147" s="661"/>
      <c r="R147" s="661">
        <f t="shared" si="41"/>
        <v>2593011835.2200003</v>
      </c>
      <c r="S147" s="661">
        <f>S143+S145</f>
        <v>-2646968423.534873</v>
      </c>
      <c r="T147" s="661"/>
      <c r="U147" s="661">
        <f>U143+U145</f>
        <v>-2861372865.8411975</v>
      </c>
      <c r="V147" s="661">
        <f>V143+V145</f>
        <v>-3012877285.8109255</v>
      </c>
      <c r="W147" s="661">
        <f>W143+W145</f>
        <v>-3193842769.4295001</v>
      </c>
    </row>
    <row r="148" spans="15:23" ht="15" thickTop="1" x14ac:dyDescent="0.35">
      <c r="P148" s="248"/>
      <c r="Q148" s="248"/>
      <c r="R148" s="248"/>
      <c r="S148" s="248" t="s">
        <v>1493</v>
      </c>
      <c r="T148" s="248"/>
      <c r="U148" s="248"/>
    </row>
    <row r="149" spans="15:23" x14ac:dyDescent="0.35">
      <c r="P149" s="248"/>
      <c r="Q149" s="248"/>
      <c r="R149" s="248"/>
      <c r="S149" s="248"/>
      <c r="T149" s="248"/>
      <c r="U149" s="248"/>
    </row>
    <row r="150" spans="15:23" x14ac:dyDescent="0.35">
      <c r="P150" s="248"/>
      <c r="Q150" s="248"/>
      <c r="R150" s="248"/>
      <c r="S150" s="248"/>
      <c r="T150" s="248"/>
      <c r="U150" s="248"/>
    </row>
    <row r="155" spans="15:23" x14ac:dyDescent="0.35">
      <c r="U155" s="275">
        <v>3</v>
      </c>
    </row>
  </sheetData>
  <autoFilter ref="A3:Y3" xr:uid="{00000000-0009-0000-0000-000003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1">
    <mergeCell ref="A3:L3"/>
  </mergeCells>
  <pageMargins left="0.25" right="0.25" top="0.75" bottom="0.75" header="0.3" footer="0.3"/>
  <pageSetup paperSize="9" scale="2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pageSetUpPr fitToPage="1"/>
  </sheetPr>
  <dimension ref="A1:AC153"/>
  <sheetViews>
    <sheetView view="pageBreakPreview" topLeftCell="N1" zoomScale="110" zoomScaleNormal="100" zoomScaleSheetLayoutView="110" zoomScalePageLayoutView="85" workbookViewId="0">
      <pane ySplit="3" topLeftCell="A136" activePane="bottomLeft" state="frozen"/>
      <selection activeCell="M1" sqref="M1"/>
      <selection pane="bottomLeft" activeCell="O1" sqref="O1"/>
    </sheetView>
  </sheetViews>
  <sheetFormatPr defaultColWidth="8.6328125" defaultRowHeight="14.5" outlineLevelRow="3" x14ac:dyDescent="0.35"/>
  <cols>
    <col min="1" max="1" width="9.36328125" hidden="1" customWidth="1"/>
    <col min="2" max="2" width="6.6328125" hidden="1" customWidth="1"/>
    <col min="3" max="4" width="8.453125" hidden="1" customWidth="1"/>
    <col min="5" max="5" width="7" hidden="1" customWidth="1"/>
    <col min="6" max="6" width="8" hidden="1" customWidth="1"/>
    <col min="7" max="7" width="9.36328125" hidden="1" customWidth="1"/>
    <col min="8" max="8" width="7.36328125" hidden="1" customWidth="1"/>
    <col min="9" max="9" width="8.54296875" hidden="1" customWidth="1"/>
    <col min="10" max="10" width="7.6328125" hidden="1" customWidth="1"/>
    <col min="11" max="11" width="2.36328125" hidden="1" customWidth="1"/>
    <col min="12" max="12" width="4.54296875" hidden="1" customWidth="1"/>
    <col min="13" max="13" width="10" customWidth="1"/>
    <col min="14" max="14" width="7.54296875" customWidth="1"/>
    <col min="15" max="15" width="48.6328125" bestFit="1" customWidth="1"/>
    <col min="16" max="16" width="23.08984375" hidden="1" customWidth="1"/>
    <col min="17" max="17" width="18.54296875" hidden="1" customWidth="1"/>
    <col min="18" max="18" width="20" style="275" hidden="1" customWidth="1"/>
    <col min="19" max="21" width="18.81640625" customWidth="1"/>
    <col min="22" max="22" width="17.6328125" customWidth="1"/>
    <col min="23" max="23" width="9.6328125" hidden="1" customWidth="1"/>
    <col min="24" max="24" width="5.453125" hidden="1" customWidth="1"/>
    <col min="25" max="25" width="7.6328125" hidden="1" customWidth="1"/>
    <col min="26" max="26" width="10.36328125" hidden="1" customWidth="1"/>
    <col min="27" max="28" width="22.6328125" hidden="1" customWidth="1"/>
    <col min="29" max="29" width="18.08984375" hidden="1" customWidth="1"/>
  </cols>
  <sheetData>
    <row r="1" spans="1:29" ht="21" x14ac:dyDescent="0.5">
      <c r="A1" s="51" t="s">
        <v>248</v>
      </c>
      <c r="O1" s="981"/>
      <c r="T1" s="40" t="s">
        <v>1943</v>
      </c>
      <c r="U1" s="40"/>
      <c r="V1" s="40"/>
    </row>
    <row r="2" spans="1:29" ht="14.75" customHeight="1" thickBot="1" x14ac:dyDescent="0.4">
      <c r="P2" s="549" t="s">
        <v>1904</v>
      </c>
      <c r="Q2" s="357">
        <v>0.151</v>
      </c>
      <c r="R2" s="1121">
        <v>0.122</v>
      </c>
      <c r="S2" s="823">
        <v>0.124</v>
      </c>
      <c r="T2" s="823">
        <v>9.9000000000000005E-2</v>
      </c>
      <c r="U2" s="823">
        <v>7.1900000000000006E-2</v>
      </c>
      <c r="V2" s="823">
        <v>2.5000000000000001E-2</v>
      </c>
    </row>
    <row r="3" spans="1:29" s="40" customFormat="1" ht="37.5" thickBot="1" x14ac:dyDescent="0.5">
      <c r="A3" s="1149" t="s">
        <v>247</v>
      </c>
      <c r="B3" s="1150"/>
      <c r="C3" s="1150"/>
      <c r="D3" s="1150"/>
      <c r="E3" s="1150"/>
      <c r="F3" s="1150"/>
      <c r="G3" s="1150"/>
      <c r="H3" s="1150"/>
      <c r="I3" s="1150"/>
      <c r="J3" s="1150"/>
      <c r="K3" s="1150"/>
      <c r="L3" s="1151"/>
      <c r="M3" s="194" t="s">
        <v>476</v>
      </c>
      <c r="N3" s="195"/>
      <c r="O3" s="195" t="s">
        <v>477</v>
      </c>
      <c r="P3" s="559" t="s">
        <v>1524</v>
      </c>
      <c r="Q3" s="835" t="s">
        <v>1941</v>
      </c>
      <c r="R3" s="905" t="s">
        <v>1950</v>
      </c>
      <c r="S3" s="1120" t="s">
        <v>1951</v>
      </c>
      <c r="T3" s="834" t="s">
        <v>1922</v>
      </c>
      <c r="U3" s="834" t="s">
        <v>1944</v>
      </c>
      <c r="V3" s="834" t="s">
        <v>1949</v>
      </c>
      <c r="W3" s="196" t="s">
        <v>246</v>
      </c>
      <c r="X3" s="196" t="s">
        <v>245</v>
      </c>
      <c r="Y3" s="195"/>
    </row>
    <row r="4" spans="1:29" s="39" customFormat="1" ht="16.5" customHeight="1" thickBot="1" x14ac:dyDescent="0.4">
      <c r="A4" s="169">
        <v>0</v>
      </c>
      <c r="B4" s="170">
        <v>0</v>
      </c>
      <c r="C4" s="171">
        <v>1</v>
      </c>
      <c r="D4" s="170">
        <v>0</v>
      </c>
      <c r="E4" s="172">
        <v>0</v>
      </c>
      <c r="F4" s="171">
        <v>0</v>
      </c>
      <c r="G4" s="172">
        <v>0</v>
      </c>
      <c r="H4" s="170">
        <v>0</v>
      </c>
      <c r="I4" s="170">
        <v>0</v>
      </c>
      <c r="J4" s="170">
        <v>0</v>
      </c>
      <c r="K4" s="170" t="s">
        <v>232</v>
      </c>
      <c r="L4" s="173" t="s">
        <v>242</v>
      </c>
      <c r="M4" s="907"/>
      <c r="N4" s="908"/>
      <c r="O4" s="909" t="s">
        <v>1936</v>
      </c>
      <c r="P4" s="910" t="e">
        <f>+#REF!</f>
        <v>#REF!</v>
      </c>
      <c r="Q4" s="1115">
        <f>Q6-Q5</f>
        <v>3276502732.2899995</v>
      </c>
      <c r="R4" s="983">
        <f t="shared" ref="R4:S4" si="0">R6-R5</f>
        <v>3832173162.7254577</v>
      </c>
      <c r="S4" s="983">
        <f t="shared" si="0"/>
        <v>4299934102.3917389</v>
      </c>
      <c r="T4" s="984">
        <f>T6-T5</f>
        <v>4678591848.6014404</v>
      </c>
      <c r="U4" s="984">
        <f t="shared" ref="U4:V4" si="1">U6-U5</f>
        <v>5014982602.5158834</v>
      </c>
      <c r="V4" s="984">
        <f t="shared" si="1"/>
        <v>5140357167.5787802</v>
      </c>
      <c r="W4" s="333" t="s">
        <v>244</v>
      </c>
      <c r="X4" s="185" t="str">
        <f>W4</f>
        <v>INCOME</v>
      </c>
    </row>
    <row r="5" spans="1:29" s="39" customFormat="1" ht="16.5" customHeight="1" outlineLevel="1" x14ac:dyDescent="0.35">
      <c r="A5" s="174">
        <v>0</v>
      </c>
      <c r="B5" s="34">
        <v>0</v>
      </c>
      <c r="C5" s="36">
        <v>1</v>
      </c>
      <c r="D5" s="34" t="s">
        <v>1494</v>
      </c>
      <c r="E5" s="35">
        <v>111</v>
      </c>
      <c r="F5" s="36">
        <v>3</v>
      </c>
      <c r="G5" s="35">
        <v>0</v>
      </c>
      <c r="H5" s="34" t="s">
        <v>1498</v>
      </c>
      <c r="I5" s="34" t="s">
        <v>1497</v>
      </c>
      <c r="J5" s="34" t="s">
        <v>136</v>
      </c>
      <c r="K5" s="33" t="s">
        <v>232</v>
      </c>
      <c r="L5" s="175" t="s">
        <v>242</v>
      </c>
      <c r="M5" s="183"/>
      <c r="N5" s="37"/>
      <c r="O5" s="897" t="s">
        <v>1923</v>
      </c>
      <c r="P5" s="906">
        <v>25272446.357990395</v>
      </c>
      <c r="Q5" s="985">
        <f>Q9+Q10</f>
        <v>29734070.649999999</v>
      </c>
      <c r="R5" s="986">
        <f>R9+R10</f>
        <v>53993074.1945614</v>
      </c>
      <c r="S5" s="987">
        <f>S9+S10</f>
        <v>69829297.198196381</v>
      </c>
      <c r="T5" s="988">
        <f>T10+T9</f>
        <v>66693310.991091214</v>
      </c>
      <c r="U5" s="988">
        <f>T5*U2+T5</f>
        <v>71488560.051350668</v>
      </c>
      <c r="V5" s="988">
        <f>U5*V2+U5</f>
        <v>73275774.052634433</v>
      </c>
      <c r="W5" s="836" t="s">
        <v>1334</v>
      </c>
      <c r="X5" s="837"/>
      <c r="Y5" s="275" t="s">
        <v>1858</v>
      </c>
    </row>
    <row r="6" spans="1:29" ht="16.5" customHeight="1" outlineLevel="2" thickBot="1" x14ac:dyDescent="0.4">
      <c r="A6" s="174">
        <v>0</v>
      </c>
      <c r="B6" s="34">
        <v>0</v>
      </c>
      <c r="C6" s="36">
        <v>1</v>
      </c>
      <c r="D6" s="34">
        <v>32</v>
      </c>
      <c r="E6" s="35">
        <v>0</v>
      </c>
      <c r="F6" s="36">
        <v>0</v>
      </c>
      <c r="G6" s="35">
        <v>0</v>
      </c>
      <c r="H6" s="34">
        <v>0</v>
      </c>
      <c r="I6" s="34">
        <v>0</v>
      </c>
      <c r="J6" s="34">
        <v>0</v>
      </c>
      <c r="K6" s="33" t="s">
        <v>232</v>
      </c>
      <c r="L6" s="175" t="s">
        <v>242</v>
      </c>
      <c r="M6" s="184"/>
      <c r="N6" s="894" t="s">
        <v>478</v>
      </c>
      <c r="O6" s="898" t="s">
        <v>1937</v>
      </c>
      <c r="P6" s="896">
        <f>P134</f>
        <v>3070260207.9992661</v>
      </c>
      <c r="Q6" s="989">
        <f>Q134</f>
        <v>3306236802.9399996</v>
      </c>
      <c r="R6" s="990">
        <f>R134</f>
        <v>3886166236.9200191</v>
      </c>
      <c r="S6" s="991">
        <f>S134</f>
        <v>4369763399.5899353</v>
      </c>
      <c r="T6" s="991">
        <f>T134</f>
        <v>4745285159.5925312</v>
      </c>
      <c r="U6" s="990">
        <f>T6*U2+T6</f>
        <v>5086471162.567234</v>
      </c>
      <c r="V6" s="990">
        <f>U6*V2+U6</f>
        <v>5213632941.6314144</v>
      </c>
      <c r="W6" s="333" t="s">
        <v>241</v>
      </c>
      <c r="X6" s="192" t="str">
        <f>W6</f>
        <v>SERVICE CHARGES</v>
      </c>
    </row>
    <row r="7" spans="1:29" ht="3.75" customHeight="1" outlineLevel="2" x14ac:dyDescent="0.35">
      <c r="A7" s="174"/>
      <c r="B7" s="34"/>
      <c r="C7" s="36"/>
      <c r="D7" s="34"/>
      <c r="E7" s="35"/>
      <c r="F7" s="36"/>
      <c r="G7" s="35"/>
      <c r="H7" s="34"/>
      <c r="I7" s="34"/>
      <c r="J7" s="34"/>
      <c r="K7" s="33"/>
      <c r="L7" s="175"/>
      <c r="M7" s="971"/>
      <c r="N7" s="972"/>
      <c r="O7" s="973"/>
      <c r="P7" s="974"/>
      <c r="Q7" s="992"/>
      <c r="R7" s="993"/>
      <c r="S7" s="994"/>
      <c r="T7" s="995"/>
      <c r="U7" s="995"/>
      <c r="V7" s="995"/>
      <c r="W7" s="333"/>
      <c r="X7" s="192"/>
    </row>
    <row r="8" spans="1:29" ht="16.5" customHeight="1" outlineLevel="2" x14ac:dyDescent="0.35">
      <c r="A8" s="174"/>
      <c r="B8" s="34"/>
      <c r="C8" s="36"/>
      <c r="D8" s="34"/>
      <c r="E8" s="35"/>
      <c r="F8" s="36"/>
      <c r="G8" s="35"/>
      <c r="H8" s="34"/>
      <c r="I8" s="34"/>
      <c r="J8" s="34"/>
      <c r="K8" s="33"/>
      <c r="L8" s="175"/>
      <c r="M8" s="183"/>
      <c r="N8" s="310"/>
      <c r="O8" s="902" t="s">
        <v>1857</v>
      </c>
      <c r="P8" s="899"/>
      <c r="Q8" s="996"/>
      <c r="R8" s="997"/>
      <c r="S8" s="998"/>
      <c r="T8" s="999"/>
      <c r="U8" s="999"/>
      <c r="V8" s="999"/>
      <c r="W8" s="333"/>
      <c r="X8" s="192"/>
      <c r="AA8" s="1061">
        <f>SUM(S9:S10)</f>
        <v>69829297.198196381</v>
      </c>
      <c r="AB8" s="981">
        <f>'Tariff Rand Values 2025-26'!I3+'Tariff Rand Values 2025-26'!I7</f>
        <v>69829297.198196381</v>
      </c>
      <c r="AC8" s="981">
        <f>AA8-AB8</f>
        <v>0</v>
      </c>
    </row>
    <row r="9" spans="1:29" ht="16.5" customHeight="1" outlineLevel="2" x14ac:dyDescent="0.35">
      <c r="A9" s="174">
        <v>14</v>
      </c>
      <c r="B9" s="34">
        <v>7</v>
      </c>
      <c r="C9" s="36">
        <v>1</v>
      </c>
      <c r="D9" s="34">
        <v>32</v>
      </c>
      <c r="E9" s="35">
        <v>125</v>
      </c>
      <c r="F9" s="787" t="s">
        <v>553</v>
      </c>
      <c r="G9" s="283" t="s">
        <v>1495</v>
      </c>
      <c r="H9" s="34" t="s">
        <v>1496</v>
      </c>
      <c r="I9" s="34" t="s">
        <v>1497</v>
      </c>
      <c r="J9" s="34">
        <v>11</v>
      </c>
      <c r="K9" s="33" t="s">
        <v>234</v>
      </c>
      <c r="L9" s="175"/>
      <c r="M9" s="969"/>
      <c r="N9" s="970"/>
      <c r="O9" s="955" t="s">
        <v>1875</v>
      </c>
      <c r="P9" s="900">
        <v>18256349.630092077</v>
      </c>
      <c r="Q9" s="1000">
        <v>29734070.649999999</v>
      </c>
      <c r="R9" s="1001">
        <f>'Tariff Rand Values 2024-25 Actu'!V3 +'Tariff Rand Values 2024-25 Actu'!V7</f>
        <v>37931912.694370933</v>
      </c>
      <c r="S9" s="1002">
        <f>'Tariff Rand Values 2025-26'!V3+'Tariff Rand Values 2025-26'!V7</f>
        <v>52371841.695710614</v>
      </c>
      <c r="T9" s="1003">
        <f>'Tariff Rand Values 2026-27'!V3</f>
        <v>46854247.281726792</v>
      </c>
      <c r="U9" s="1003">
        <f>T9*(1+$U$2)</f>
        <v>50223067.661282949</v>
      </c>
      <c r="V9" s="1003">
        <f>U9*(1+$V$2)</f>
        <v>51478644.352815017</v>
      </c>
      <c r="W9" s="333"/>
      <c r="X9" s="192"/>
      <c r="Y9" t="s">
        <v>1858</v>
      </c>
    </row>
    <row r="10" spans="1:29" ht="16.5" customHeight="1" outlineLevel="2" x14ac:dyDescent="0.35">
      <c r="A10" s="174">
        <v>14</v>
      </c>
      <c r="B10" s="34">
        <v>7</v>
      </c>
      <c r="C10" s="36">
        <v>1</v>
      </c>
      <c r="D10" s="34">
        <v>32</v>
      </c>
      <c r="E10" s="35">
        <v>125</v>
      </c>
      <c r="F10" s="787" t="s">
        <v>553</v>
      </c>
      <c r="G10" s="283" t="s">
        <v>1495</v>
      </c>
      <c r="H10" s="34" t="s">
        <v>1496</v>
      </c>
      <c r="I10" s="34" t="s">
        <v>1497</v>
      </c>
      <c r="J10" s="34">
        <v>11</v>
      </c>
      <c r="K10" s="33" t="s">
        <v>234</v>
      </c>
      <c r="L10" s="175"/>
      <c r="M10" s="969"/>
      <c r="N10" s="970"/>
      <c r="O10" s="955" t="s">
        <v>1876</v>
      </c>
      <c r="P10" s="900">
        <v>7016096.7278983183</v>
      </c>
      <c r="Q10" s="1000">
        <v>0</v>
      </c>
      <c r="R10" s="1001">
        <f>'Tariff Rand Values 2024-25 Actu'!W3+'Tariff Rand Values 2024-25 Actu'!W7</f>
        <v>16061161.500190465</v>
      </c>
      <c r="S10" s="1002">
        <f>'Tariff Rand Values 2025-26'!W3+'Tariff Rand Values 2025-26'!W7</f>
        <v>17457455.502485767</v>
      </c>
      <c r="T10" s="1003">
        <f>'Tariff Rand Values 2026-27'!W3</f>
        <v>19839063.709364422</v>
      </c>
      <c r="U10" s="1003">
        <f>T10*(1+$U$2)</f>
        <v>21265492.390067726</v>
      </c>
      <c r="V10" s="1003">
        <f>U10*(1+$V$2)</f>
        <v>21797129.699819416</v>
      </c>
      <c r="W10" s="333"/>
      <c r="X10" s="192"/>
      <c r="Y10" t="s">
        <v>1858</v>
      </c>
    </row>
    <row r="11" spans="1:29" s="39" customFormat="1" ht="16.5" customHeight="1" outlineLevel="3" x14ac:dyDescent="0.35">
      <c r="A11" s="174"/>
      <c r="B11" s="34"/>
      <c r="C11" s="36"/>
      <c r="D11" s="34"/>
      <c r="E11" s="283"/>
      <c r="F11" s="283"/>
      <c r="G11" s="283"/>
      <c r="H11" s="283"/>
      <c r="I11" s="283"/>
      <c r="J11" s="283"/>
      <c r="K11" s="33"/>
      <c r="L11" s="173"/>
      <c r="M11" s="839"/>
      <c r="N11" s="314" t="s">
        <v>478</v>
      </c>
      <c r="O11" s="902" t="s">
        <v>1532</v>
      </c>
      <c r="P11" s="895"/>
      <c r="Q11" s="1116"/>
      <c r="R11" s="1004"/>
      <c r="S11" s="1005"/>
      <c r="T11" s="999"/>
      <c r="U11" s="999"/>
      <c r="V11" s="999"/>
      <c r="W11" s="335" t="s">
        <v>29</v>
      </c>
      <c r="X11" s="241" t="s">
        <v>1905</v>
      </c>
      <c r="Z11"/>
      <c r="AA11" s="1061">
        <f>SUM(S12:S13)</f>
        <v>111319112.65323505</v>
      </c>
      <c r="AB11" s="39">
        <f>'Tariff Rand Values 2025-26'!I4+'Tariff Rand Values 2025-26'!I5+'Tariff Rand Values 2025-26'!I8+'Tariff Rand Values 2025-26'!I9</f>
        <v>111319112.65323505</v>
      </c>
      <c r="AC11" s="981">
        <f>AA11-AB11</f>
        <v>0</v>
      </c>
    </row>
    <row r="12" spans="1:29" s="39" customFormat="1" ht="16.5" customHeight="1" outlineLevel="3" x14ac:dyDescent="0.35">
      <c r="A12" s="174">
        <v>14</v>
      </c>
      <c r="B12" s="34">
        <v>7</v>
      </c>
      <c r="C12" s="36">
        <v>1</v>
      </c>
      <c r="D12" s="34">
        <v>32</v>
      </c>
      <c r="E12" s="283" t="s">
        <v>224</v>
      </c>
      <c r="F12" s="283" t="s">
        <v>553</v>
      </c>
      <c r="G12" s="283" t="s">
        <v>1495</v>
      </c>
      <c r="H12" s="283" t="s">
        <v>1496</v>
      </c>
      <c r="I12" s="283" t="s">
        <v>1497</v>
      </c>
      <c r="J12" s="283" t="s">
        <v>136</v>
      </c>
      <c r="K12" s="33" t="s">
        <v>234</v>
      </c>
      <c r="L12" s="173"/>
      <c r="M12" s="953" t="str">
        <f>RIGHT(O12,7)</f>
        <v>INELSM1</v>
      </c>
      <c r="N12" s="944"/>
      <c r="O12" s="955" t="s">
        <v>1526</v>
      </c>
      <c r="P12" s="900">
        <v>62511813.452960536</v>
      </c>
      <c r="Q12" s="1000">
        <v>0</v>
      </c>
      <c r="R12" s="1001">
        <f>'Tariff Rand Values 2024-25 Actu'!V6+'Tariff Rand Values 2024-25 Actu'!V10-R9</f>
        <v>71219021.707033306</v>
      </c>
      <c r="S12" s="1002">
        <f>R12*(1+$S$2)</f>
        <v>80050180.398705438</v>
      </c>
      <c r="T12" s="1003">
        <f>'Tariff Rand Values 2026-27'!I4</f>
        <v>76730080.044615135</v>
      </c>
      <c r="U12" s="1003">
        <f>T12*(1+$U$2)</f>
        <v>82246972.799822971</v>
      </c>
      <c r="V12" s="1003">
        <f>U12*(1+$V$2)</f>
        <v>84303147.119818538</v>
      </c>
      <c r="W12" s="335"/>
      <c r="X12" s="241"/>
      <c r="Y12" s="841"/>
      <c r="Z12"/>
    </row>
    <row r="13" spans="1:29" s="39" customFormat="1" ht="16.5" customHeight="1" outlineLevel="3" x14ac:dyDescent="0.35">
      <c r="A13" s="174">
        <v>14</v>
      </c>
      <c r="B13" s="34">
        <v>7</v>
      </c>
      <c r="C13" s="36">
        <v>1</v>
      </c>
      <c r="D13" s="34">
        <v>32</v>
      </c>
      <c r="E13" s="283" t="s">
        <v>228</v>
      </c>
      <c r="F13" s="283" t="s">
        <v>155</v>
      </c>
      <c r="G13" s="283" t="s">
        <v>1495</v>
      </c>
      <c r="H13" s="283" t="s">
        <v>1496</v>
      </c>
      <c r="I13" s="283" t="s">
        <v>1497</v>
      </c>
      <c r="J13" s="283" t="s">
        <v>136</v>
      </c>
      <c r="K13" s="33" t="s">
        <v>234</v>
      </c>
      <c r="L13" s="173"/>
      <c r="M13" s="953" t="str">
        <f t="shared" ref="M13" si="2">RIGHT(O13,6)</f>
        <v>INEL01</v>
      </c>
      <c r="N13" s="944"/>
      <c r="O13" s="955" t="s">
        <v>1525</v>
      </c>
      <c r="P13" s="900">
        <v>22361572.370588809</v>
      </c>
      <c r="Q13" s="1000">
        <v>0</v>
      </c>
      <c r="R13" s="1001">
        <f>'Tariff Rand Values 2024-25 Actu'!W6+'Tariff Rand Values 2024-25 Actu'!W10-R10</f>
        <v>27819334.746022783</v>
      </c>
      <c r="S13" s="1002">
        <f>R13*(1+$S$2)</f>
        <v>31268932.25452961</v>
      </c>
      <c r="T13" s="1003">
        <f>'Tariff Rand Values 2026-27'!I5</f>
        <v>45514933.876762345</v>
      </c>
      <c r="U13" s="1003">
        <f>T13*(1+$U$2)</f>
        <v>48787457.62250156</v>
      </c>
      <c r="V13" s="1003">
        <f>U13*(1+$V$2)</f>
        <v>50007144.063064091</v>
      </c>
      <c r="W13" s="335"/>
      <c r="X13" s="241"/>
      <c r="Y13" s="841"/>
      <c r="Z13"/>
    </row>
    <row r="14" spans="1:29" s="39" customFormat="1" ht="16.5" customHeight="1" outlineLevel="3" x14ac:dyDescent="0.35">
      <c r="A14" s="174"/>
      <c r="B14" s="34"/>
      <c r="C14" s="36"/>
      <c r="D14" s="34"/>
      <c r="E14" s="283"/>
      <c r="F14" s="283"/>
      <c r="G14" s="283"/>
      <c r="H14" s="283"/>
      <c r="I14" s="283"/>
      <c r="J14" s="283"/>
      <c r="K14" s="33"/>
      <c r="L14" s="173"/>
      <c r="M14" s="839"/>
      <c r="N14" s="314"/>
      <c r="O14" s="902" t="s">
        <v>1533</v>
      </c>
      <c r="P14" s="895"/>
      <c r="Q14" s="1116"/>
      <c r="R14" s="1004"/>
      <c r="S14" s="1005"/>
      <c r="T14" s="999"/>
      <c r="U14" s="999"/>
      <c r="V14" s="999"/>
      <c r="W14" s="335"/>
      <c r="X14" s="241"/>
      <c r="Z14"/>
      <c r="AA14" s="1061">
        <f>SUM(S15:S16)</f>
        <v>23682773.030018624</v>
      </c>
      <c r="AB14" s="39">
        <f>'Tariff Rand Values 2025-26'!I13</f>
        <v>23682773.03001862</v>
      </c>
      <c r="AC14" s="981">
        <f>AA14-AB14</f>
        <v>0</v>
      </c>
    </row>
    <row r="15" spans="1:29" ht="16.5" customHeight="1" outlineLevel="3" x14ac:dyDescent="0.35">
      <c r="A15" s="783">
        <v>14</v>
      </c>
      <c r="B15" s="784">
        <v>7</v>
      </c>
      <c r="C15" s="785">
        <v>1</v>
      </c>
      <c r="D15" s="784">
        <v>32</v>
      </c>
      <c r="E15" s="786" t="s">
        <v>222</v>
      </c>
      <c r="F15" s="786" t="s">
        <v>144</v>
      </c>
      <c r="G15" s="786" t="s">
        <v>1495</v>
      </c>
      <c r="H15" s="786" t="s">
        <v>1496</v>
      </c>
      <c r="I15" s="786" t="s">
        <v>1497</v>
      </c>
      <c r="J15" s="786" t="s">
        <v>136</v>
      </c>
      <c r="K15" s="33" t="s">
        <v>234</v>
      </c>
      <c r="L15" s="175"/>
      <c r="M15" s="953" t="str">
        <f>RIGHT(O15,6)</f>
        <v>ELSM01</v>
      </c>
      <c r="N15" s="954" t="s">
        <v>478</v>
      </c>
      <c r="O15" s="955" t="s">
        <v>1620</v>
      </c>
      <c r="P15" s="900">
        <v>42233382.026896931</v>
      </c>
      <c r="Q15" s="1000">
        <v>16721262.4</v>
      </c>
      <c r="R15" s="1001">
        <f>'Tariff Rand Values 2024-25 Actu'!V16</f>
        <v>15458784.289009223</v>
      </c>
      <c r="S15" s="1002">
        <f>R15*(1+$S$2)</f>
        <v>17375673.540846366</v>
      </c>
      <c r="T15" s="1003">
        <f>S15*(1+$T$2)</f>
        <v>19095865.221390158</v>
      </c>
      <c r="U15" s="1003">
        <f>T15*(1+$U$2)</f>
        <v>20468857.930808112</v>
      </c>
      <c r="V15" s="1003">
        <f>U15*(1+$V$2)</f>
        <v>20980579.379078314</v>
      </c>
      <c r="W15" s="336" t="str">
        <f>CONCATENATE($W$74,N15,M15)</f>
        <v>Exchange Revenue:  Service Charges - Electricity:  Sales - Commercial Conventional (3-Phase) ELSM01</v>
      </c>
      <c r="X15" s="186"/>
      <c r="Y15" s="37"/>
    </row>
    <row r="16" spans="1:29" ht="16.5" customHeight="1" outlineLevel="3" x14ac:dyDescent="0.35">
      <c r="A16" s="783">
        <v>14</v>
      </c>
      <c r="B16" s="34">
        <v>7</v>
      </c>
      <c r="C16" s="36">
        <v>1</v>
      </c>
      <c r="D16" s="34">
        <v>32</v>
      </c>
      <c r="E16" s="283" t="s">
        <v>226</v>
      </c>
      <c r="F16" s="283" t="s">
        <v>144</v>
      </c>
      <c r="G16" s="283" t="s">
        <v>1495</v>
      </c>
      <c r="H16" s="283" t="s">
        <v>1496</v>
      </c>
      <c r="I16" s="283" t="s">
        <v>1497</v>
      </c>
      <c r="J16" s="283" t="s">
        <v>136</v>
      </c>
      <c r="K16" s="33" t="s">
        <v>234</v>
      </c>
      <c r="L16" s="175"/>
      <c r="M16" s="965" t="str">
        <f>RIGHT(O16,6)</f>
        <v>EL0001</v>
      </c>
      <c r="N16" s="954" t="s">
        <v>478</v>
      </c>
      <c r="O16" s="964" t="s">
        <v>1621</v>
      </c>
      <c r="P16" s="900">
        <v>25646546.238323752</v>
      </c>
      <c r="Q16" s="1000">
        <v>5710820.4199999999</v>
      </c>
      <c r="R16" s="1001">
        <f>'Tariff Rand Values 2024-25 Actu'!W16</f>
        <v>5611298.47791126</v>
      </c>
      <c r="S16" s="1002">
        <f>R16*(1+$S$2)</f>
        <v>6307099.4891722566</v>
      </c>
      <c r="T16" s="1003">
        <f>S16*(1+$T$2)</f>
        <v>6931502.3386003096</v>
      </c>
      <c r="U16" s="1003">
        <f>T16*(1+$U$2)</f>
        <v>7429877.3567456724</v>
      </c>
      <c r="V16" s="1003">
        <f>U16*(1+$V$2)</f>
        <v>7615624.2906643134</v>
      </c>
      <c r="W16" s="338"/>
      <c r="X16" s="187" t="s">
        <v>235</v>
      </c>
      <c r="Y16" s="37"/>
    </row>
    <row r="17" spans="1:29" ht="16.5" customHeight="1" outlineLevel="3" x14ac:dyDescent="0.35">
      <c r="A17" s="912"/>
      <c r="B17" s="913"/>
      <c r="C17" s="914"/>
      <c r="D17" s="913"/>
      <c r="E17" s="915"/>
      <c r="F17" s="915"/>
      <c r="G17" s="915"/>
      <c r="H17" s="915"/>
      <c r="I17" s="915"/>
      <c r="J17" s="915"/>
      <c r="K17" s="916"/>
      <c r="L17" s="917"/>
      <c r="M17" s="918"/>
      <c r="N17" s="919"/>
      <c r="O17" s="920" t="s">
        <v>1958</v>
      </c>
      <c r="P17" s="921"/>
      <c r="Q17" s="1007"/>
      <c r="R17" s="1008"/>
      <c r="S17" s="1009"/>
      <c r="T17" s="1134">
        <f>'Tariff Rand Values 2026-27'!I15</f>
        <v>69600</v>
      </c>
      <c r="U17" s="1134">
        <f>T17*(1+$U$2)</f>
        <v>74604.240000000005</v>
      </c>
      <c r="V17" s="1134">
        <f>U17*(1+$V$2)</f>
        <v>76469.346000000005</v>
      </c>
      <c r="W17" s="891"/>
      <c r="X17" s="892"/>
      <c r="Y17" s="893"/>
    </row>
    <row r="18" spans="1:29" s="39" customFormat="1" ht="16.5" customHeight="1" outlineLevel="3" x14ac:dyDescent="0.35">
      <c r="A18" s="174"/>
      <c r="B18" s="34"/>
      <c r="C18" s="36"/>
      <c r="D18" s="34"/>
      <c r="E18" s="283"/>
      <c r="F18" s="283"/>
      <c r="G18" s="283"/>
      <c r="H18" s="283"/>
      <c r="I18" s="283"/>
      <c r="J18" s="283"/>
      <c r="K18" s="33"/>
      <c r="L18" s="173"/>
      <c r="M18" s="839"/>
      <c r="N18" s="314"/>
      <c r="O18" s="902" t="s">
        <v>1534</v>
      </c>
      <c r="P18" s="895"/>
      <c r="Q18" s="1116"/>
      <c r="R18" s="1004"/>
      <c r="S18" s="1005"/>
      <c r="T18" s="999"/>
      <c r="U18" s="999"/>
      <c r="V18" s="999"/>
      <c r="W18" s="335"/>
      <c r="X18" s="241"/>
      <c r="Z18"/>
      <c r="AA18" s="1061">
        <f>SUM(S19:S20)</f>
        <v>1654716686.803524</v>
      </c>
      <c r="AB18" s="39">
        <f>'Tariff Rand Values 2025-26'!I10</f>
        <v>1654716686.8035235</v>
      </c>
      <c r="AC18" s="981">
        <f>AA18-AB18</f>
        <v>0</v>
      </c>
    </row>
    <row r="19" spans="1:29" ht="16.5" customHeight="1" outlineLevel="3" x14ac:dyDescent="0.35">
      <c r="A19" s="783">
        <v>14</v>
      </c>
      <c r="B19" s="34">
        <v>7</v>
      </c>
      <c r="C19" s="36">
        <v>1</v>
      </c>
      <c r="D19" s="34">
        <v>32</v>
      </c>
      <c r="E19" s="283" t="s">
        <v>223</v>
      </c>
      <c r="F19" s="283" t="s">
        <v>553</v>
      </c>
      <c r="G19" s="283" t="s">
        <v>1495</v>
      </c>
      <c r="H19" s="283" t="s">
        <v>1496</v>
      </c>
      <c r="I19" s="283" t="s">
        <v>1497</v>
      </c>
      <c r="J19" s="283" t="s">
        <v>136</v>
      </c>
      <c r="K19" s="33" t="s">
        <v>234</v>
      </c>
      <c r="L19" s="175"/>
      <c r="M19" s="953" t="s">
        <v>1518</v>
      </c>
      <c r="N19" s="954" t="s">
        <v>478</v>
      </c>
      <c r="O19" s="955" t="s">
        <v>1618</v>
      </c>
      <c r="P19" s="900">
        <v>765318960.63458705</v>
      </c>
      <c r="Q19" s="1000">
        <v>801903382.11000001</v>
      </c>
      <c r="R19" s="1001">
        <f>'Tariff Rand Values 2024-25 Actu'!V13</f>
        <v>1008359775.5082312</v>
      </c>
      <c r="S19" s="1002">
        <f>R19*(1+$S$2)</f>
        <v>1133396387.671252</v>
      </c>
      <c r="T19" s="1003">
        <f>S19*(1+$T$2)</f>
        <v>1245602630.0507059</v>
      </c>
      <c r="U19" s="1003">
        <f>T19*(1+$U$2)</f>
        <v>1335161459.1513517</v>
      </c>
      <c r="V19" s="1003">
        <f>U19*(1+$V$2)</f>
        <v>1368540495.6301353</v>
      </c>
      <c r="W19" s="336"/>
      <c r="X19" s="186"/>
      <c r="Y19" s="37"/>
    </row>
    <row r="20" spans="1:29" ht="16.5" customHeight="1" outlineLevel="3" x14ac:dyDescent="0.35">
      <c r="A20" s="783">
        <v>14</v>
      </c>
      <c r="B20" s="34">
        <v>7</v>
      </c>
      <c r="C20" s="36">
        <v>1</v>
      </c>
      <c r="D20" s="34">
        <v>32</v>
      </c>
      <c r="E20" s="283" t="s">
        <v>223</v>
      </c>
      <c r="F20" s="283" t="s">
        <v>144</v>
      </c>
      <c r="G20" s="283" t="s">
        <v>1495</v>
      </c>
      <c r="H20" s="283" t="s">
        <v>1496</v>
      </c>
      <c r="I20" s="283" t="s">
        <v>1497</v>
      </c>
      <c r="J20" s="283" t="s">
        <v>136</v>
      </c>
      <c r="K20" s="33" t="s">
        <v>234</v>
      </c>
      <c r="L20" s="175"/>
      <c r="M20" s="953" t="s">
        <v>1518</v>
      </c>
      <c r="N20" s="954" t="s">
        <v>478</v>
      </c>
      <c r="O20" s="955" t="s">
        <v>1619</v>
      </c>
      <c r="P20" s="900">
        <v>319341119.38867843</v>
      </c>
      <c r="Q20" s="1000">
        <v>401745637.63999999</v>
      </c>
      <c r="R20" s="1001">
        <f>'Tariff Rand Values 2024-25 Actu'!W13</f>
        <v>463808095.31340909</v>
      </c>
      <c r="S20" s="1002">
        <f>R20*(1+$S$2)</f>
        <v>521320299.13227189</v>
      </c>
      <c r="T20" s="1003">
        <f>S20*(1+$T$2)</f>
        <v>572931008.74636674</v>
      </c>
      <c r="U20" s="1003">
        <f>T20*(1+$U$2)</f>
        <v>614124748.27523053</v>
      </c>
      <c r="V20" s="1003">
        <f>U20*(1+$V$2)</f>
        <v>629477866.98211122</v>
      </c>
      <c r="W20" s="336"/>
      <c r="X20" s="186"/>
      <c r="Y20" s="37"/>
    </row>
    <row r="21" spans="1:29" ht="16.5" customHeight="1" outlineLevel="3" x14ac:dyDescent="0.35">
      <c r="A21" s="912"/>
      <c r="B21" s="913"/>
      <c r="C21" s="914"/>
      <c r="D21" s="913"/>
      <c r="E21" s="915"/>
      <c r="F21" s="915"/>
      <c r="G21" s="915"/>
      <c r="H21" s="915"/>
      <c r="I21" s="915"/>
      <c r="J21" s="915"/>
      <c r="K21" s="916"/>
      <c r="L21" s="917"/>
      <c r="M21" s="918"/>
      <c r="N21" s="919"/>
      <c r="O21" s="920" t="s">
        <v>1958</v>
      </c>
      <c r="P21" s="921"/>
      <c r="Q21" s="1007"/>
      <c r="R21" s="1008"/>
      <c r="S21" s="1009"/>
      <c r="T21" s="1134">
        <f>'Tariff Rand Values 2026-27'!I11</f>
        <v>91995000</v>
      </c>
      <c r="U21" s="1134">
        <f>T21*(1+$U$2)</f>
        <v>98609440.5</v>
      </c>
      <c r="V21" s="1134">
        <f>U21*(1+$V$2)</f>
        <v>101074676.51249999</v>
      </c>
      <c r="W21" s="891"/>
      <c r="X21" s="892"/>
      <c r="Y21" s="893"/>
    </row>
    <row r="22" spans="1:29" s="39" customFormat="1" ht="16.5" customHeight="1" outlineLevel="3" x14ac:dyDescent="0.35">
      <c r="A22" s="174"/>
      <c r="B22" s="34"/>
      <c r="C22" s="36"/>
      <c r="D22" s="34"/>
      <c r="E22" s="283"/>
      <c r="F22" s="283"/>
      <c r="G22" s="283"/>
      <c r="H22" s="283"/>
      <c r="I22" s="283"/>
      <c r="J22" s="283"/>
      <c r="K22" s="33"/>
      <c r="L22" s="173"/>
      <c r="M22" s="839"/>
      <c r="N22" s="314"/>
      <c r="O22" s="902" t="s">
        <v>1535</v>
      </c>
      <c r="P22" s="895"/>
      <c r="Q22" s="1116"/>
      <c r="R22" s="1004"/>
      <c r="S22" s="1005"/>
      <c r="T22" s="999"/>
      <c r="U22" s="999"/>
      <c r="V22" s="999"/>
      <c r="W22" s="335"/>
      <c r="X22" s="241"/>
      <c r="Z22"/>
      <c r="AA22" s="1061">
        <f>SUM(S23:S29)</f>
        <v>1026614.8763391468</v>
      </c>
      <c r="AB22" s="39">
        <f>'Tariff Rand Values 2025-26'!I16</f>
        <v>1025885.2331391467</v>
      </c>
      <c r="AC22" s="981">
        <f>AA22-AB22</f>
        <v>729.64320000004955</v>
      </c>
    </row>
    <row r="23" spans="1:29" ht="16.5" customHeight="1" outlineLevel="3" x14ac:dyDescent="0.35">
      <c r="A23" s="174">
        <v>14</v>
      </c>
      <c r="B23" s="34">
        <v>7</v>
      </c>
      <c r="C23" s="36">
        <v>1</v>
      </c>
      <c r="D23" s="34">
        <v>32</v>
      </c>
      <c r="E23" s="283" t="s">
        <v>227</v>
      </c>
      <c r="F23" s="283" t="s">
        <v>1720</v>
      </c>
      <c r="G23" s="283" t="s">
        <v>1495</v>
      </c>
      <c r="H23" s="283" t="s">
        <v>1496</v>
      </c>
      <c r="I23" s="283" t="s">
        <v>1497</v>
      </c>
      <c r="J23" s="283" t="s">
        <v>136</v>
      </c>
      <c r="K23" s="33" t="s">
        <v>234</v>
      </c>
      <c r="L23" s="175"/>
      <c r="M23" s="965" t="str">
        <f t="shared" ref="M23:M37" si="3">RIGHT(O23,6)</f>
        <v>E1RLDP</v>
      </c>
      <c r="N23" s="954" t="s">
        <v>478</v>
      </c>
      <c r="O23" s="968" t="s">
        <v>1547</v>
      </c>
      <c r="P23" s="900">
        <v>26273.199847581098</v>
      </c>
      <c r="Q23" s="1000">
        <v>101384.11</v>
      </c>
      <c r="R23" s="1001">
        <f>'Tariff Rand Values 2024-25 Actu'!V18</f>
        <v>83656.16588769044</v>
      </c>
      <c r="S23" s="1002">
        <f t="shared" ref="S23:S36" si="4">R23*(1+$S$2)</f>
        <v>94029.530457764064</v>
      </c>
      <c r="T23" s="1003">
        <f>'Tariff Rand Values 2026-27'!V20</f>
        <v>103338.45397308268</v>
      </c>
      <c r="U23" s="1003">
        <f t="shared" ref="U23:U29" si="5">T23*(1+$U$2)</f>
        <v>110768.48881374733</v>
      </c>
      <c r="V23" s="1003">
        <f>U23*(1+$V$2)</f>
        <v>113537.70103409101</v>
      </c>
      <c r="W23" s="338" t="str">
        <f>CONCATENATE($W$27,N23,M23)</f>
        <v>Exchange Revenue:  Service Charges - Electricity:  Sales - Domestic Low:  Prepaid E1RLDP</v>
      </c>
      <c r="X23" s="187"/>
      <c r="Y23" s="37"/>
    </row>
    <row r="24" spans="1:29" ht="16.5" customHeight="1" outlineLevel="3" x14ac:dyDescent="0.35">
      <c r="A24" s="174">
        <v>14</v>
      </c>
      <c r="B24" s="34">
        <v>7</v>
      </c>
      <c r="C24" s="36">
        <v>1</v>
      </c>
      <c r="D24" s="34">
        <v>32</v>
      </c>
      <c r="E24" s="283" t="s">
        <v>227</v>
      </c>
      <c r="F24" s="283" t="s">
        <v>1723</v>
      </c>
      <c r="G24" s="283" t="s">
        <v>1495</v>
      </c>
      <c r="H24" s="283" t="s">
        <v>1496</v>
      </c>
      <c r="I24" s="283" t="s">
        <v>1497</v>
      </c>
      <c r="J24" s="283" t="s">
        <v>136</v>
      </c>
      <c r="K24" s="33" t="s">
        <v>234</v>
      </c>
      <c r="L24" s="175"/>
      <c r="M24" s="965" t="str">
        <f t="shared" si="3"/>
        <v>E1RLDS</v>
      </c>
      <c r="N24" s="954" t="s">
        <v>478</v>
      </c>
      <c r="O24" s="968" t="s">
        <v>1548</v>
      </c>
      <c r="P24" s="900">
        <v>34688.905388138061</v>
      </c>
      <c r="Q24" s="1000">
        <v>173404.86</v>
      </c>
      <c r="R24" s="1001">
        <f>'Tariff Rand Values 2024-25 Actu'!V19</f>
        <v>150649.56159191547</v>
      </c>
      <c r="S24" s="1002">
        <f t="shared" si="4"/>
        <v>169330.107229313</v>
      </c>
      <c r="T24" s="1003">
        <f>'Tariff Rand Values 2026-27'!V21</f>
        <v>186093.78784501494</v>
      </c>
      <c r="U24" s="1003">
        <f t="shared" si="5"/>
        <v>199473.93119107152</v>
      </c>
      <c r="V24" s="1003">
        <f t="shared" ref="V24:V55" si="6">U24*(1+$V$2)</f>
        <v>204460.7794708483</v>
      </c>
      <c r="W24" s="337" t="s">
        <v>72</v>
      </c>
      <c r="X24" s="188" t="s">
        <v>1906</v>
      </c>
      <c r="Y24" s="37"/>
    </row>
    <row r="25" spans="1:29" ht="16.5" customHeight="1" outlineLevel="3" x14ac:dyDescent="0.35">
      <c r="A25" s="174">
        <v>14</v>
      </c>
      <c r="B25" s="34">
        <v>7</v>
      </c>
      <c r="C25" s="36">
        <v>1</v>
      </c>
      <c r="D25" s="34">
        <v>32</v>
      </c>
      <c r="E25" s="283" t="s">
        <v>227</v>
      </c>
      <c r="F25" s="283" t="s">
        <v>1726</v>
      </c>
      <c r="G25" s="283" t="s">
        <v>1495</v>
      </c>
      <c r="H25" s="283" t="s">
        <v>1496</v>
      </c>
      <c r="I25" s="283" t="s">
        <v>1497</v>
      </c>
      <c r="J25" s="283" t="s">
        <v>136</v>
      </c>
      <c r="K25" s="33" t="s">
        <v>234</v>
      </c>
      <c r="L25" s="175"/>
      <c r="M25" s="965" t="str">
        <f t="shared" si="3"/>
        <v>E1RLDO</v>
      </c>
      <c r="N25" s="954" t="s">
        <v>478</v>
      </c>
      <c r="O25" s="968" t="s">
        <v>1549</v>
      </c>
      <c r="P25" s="900">
        <v>43993.081755986364</v>
      </c>
      <c r="Q25" s="1000">
        <v>183742.74</v>
      </c>
      <c r="R25" s="1001">
        <f>'Tariff Rand Values 2024-25 Actu'!V20</f>
        <v>177015.46519277157</v>
      </c>
      <c r="S25" s="1006">
        <f t="shared" si="4"/>
        <v>198965.38287667526</v>
      </c>
      <c r="T25" s="1003">
        <f>'Tariff Rand Values 2026-27'!V22</f>
        <v>218662.95578146612</v>
      </c>
      <c r="U25" s="1003">
        <f t="shared" si="5"/>
        <v>234384.82230215357</v>
      </c>
      <c r="V25" s="1003">
        <f t="shared" si="6"/>
        <v>240244.44285970737</v>
      </c>
      <c r="W25" s="337" t="s">
        <v>45</v>
      </c>
      <c r="X25" s="188" t="s">
        <v>1907</v>
      </c>
      <c r="Y25" s="37"/>
    </row>
    <row r="26" spans="1:29" ht="16.5" customHeight="1" outlineLevel="3" x14ac:dyDescent="0.35">
      <c r="A26" s="174">
        <v>14</v>
      </c>
      <c r="B26" s="34">
        <v>7</v>
      </c>
      <c r="C26" s="36">
        <v>1</v>
      </c>
      <c r="D26" s="34">
        <v>32</v>
      </c>
      <c r="E26" s="283" t="s">
        <v>227</v>
      </c>
      <c r="F26" s="283" t="s">
        <v>150</v>
      </c>
      <c r="G26" s="283" t="s">
        <v>1495</v>
      </c>
      <c r="H26" s="283" t="s">
        <v>1496</v>
      </c>
      <c r="I26" s="283" t="s">
        <v>1497</v>
      </c>
      <c r="J26" s="283" t="s">
        <v>136</v>
      </c>
      <c r="K26" s="33" t="s">
        <v>234</v>
      </c>
      <c r="L26" s="175"/>
      <c r="M26" s="965" t="str">
        <f t="shared" si="3"/>
        <v>E1RHDP</v>
      </c>
      <c r="N26" s="954"/>
      <c r="O26" s="968" t="s">
        <v>1550</v>
      </c>
      <c r="P26" s="900">
        <v>16003.358867481098</v>
      </c>
      <c r="Q26" s="1000">
        <v>101536.31</v>
      </c>
      <c r="R26" s="1001">
        <f>'Tariff Rand Values 2024-25 Actu'!W18</f>
        <v>91543.957819772797</v>
      </c>
      <c r="S26" s="1006">
        <f t="shared" si="4"/>
        <v>102895.40858942464</v>
      </c>
      <c r="T26" s="1003">
        <f>'Tariff Rand Values 2026-27'!W20</f>
        <v>105022.84530373766</v>
      </c>
      <c r="U26" s="1003">
        <f t="shared" si="5"/>
        <v>112573.98788107641</v>
      </c>
      <c r="V26" s="1003">
        <f t="shared" si="6"/>
        <v>115388.33757810331</v>
      </c>
      <c r="W26" s="338"/>
      <c r="X26" s="187"/>
      <c r="Y26" s="37"/>
    </row>
    <row r="27" spans="1:29" s="39" customFormat="1" ht="16.5" customHeight="1" outlineLevel="3" x14ac:dyDescent="0.35">
      <c r="A27" s="174">
        <v>14</v>
      </c>
      <c r="B27" s="34">
        <v>7</v>
      </c>
      <c r="C27" s="36">
        <v>1</v>
      </c>
      <c r="D27" s="34">
        <v>32</v>
      </c>
      <c r="E27" s="283" t="s">
        <v>227</v>
      </c>
      <c r="F27" s="283" t="s">
        <v>151</v>
      </c>
      <c r="G27" s="283" t="s">
        <v>1495</v>
      </c>
      <c r="H27" s="283" t="s">
        <v>1496</v>
      </c>
      <c r="I27" s="283" t="s">
        <v>1497</v>
      </c>
      <c r="J27" s="283" t="s">
        <v>136</v>
      </c>
      <c r="K27" s="636" t="s">
        <v>234</v>
      </c>
      <c r="L27" s="173"/>
      <c r="M27" s="957" t="str">
        <f t="shared" si="3"/>
        <v>E1RHDS</v>
      </c>
      <c r="N27" s="954" t="s">
        <v>478</v>
      </c>
      <c r="O27" s="955" t="s">
        <v>1551</v>
      </c>
      <c r="P27" s="900">
        <v>15959.122505110718</v>
      </c>
      <c r="Q27" s="1000">
        <v>116785.68</v>
      </c>
      <c r="R27" s="1001">
        <f>'Tariff Rand Values 2024-25 Actu'!W19</f>
        <v>104080.20167459731</v>
      </c>
      <c r="S27" s="1006">
        <f t="shared" si="4"/>
        <v>116986.14668224739</v>
      </c>
      <c r="T27" s="1003">
        <f>'Tariff Rand Values 2026-27'!W21</f>
        <v>133517.82418458987</v>
      </c>
      <c r="U27" s="1003">
        <f>T27*(1+$U$2)</f>
        <v>143117.75574346189</v>
      </c>
      <c r="V27" s="1003">
        <f t="shared" si="6"/>
        <v>146695.69963704844</v>
      </c>
      <c r="W27" s="337" t="s">
        <v>140</v>
      </c>
      <c r="X27" s="242" t="s">
        <v>1908</v>
      </c>
      <c r="Y27" s="37"/>
      <c r="Z27"/>
    </row>
    <row r="28" spans="1:29" ht="16.5" customHeight="1" outlineLevel="3" x14ac:dyDescent="0.35">
      <c r="A28" s="174">
        <v>14</v>
      </c>
      <c r="B28" s="34">
        <v>7</v>
      </c>
      <c r="C28" s="36">
        <v>1</v>
      </c>
      <c r="D28" s="34">
        <v>32</v>
      </c>
      <c r="E28" s="283" t="s">
        <v>227</v>
      </c>
      <c r="F28" s="283" t="s">
        <v>1717</v>
      </c>
      <c r="G28" s="283" t="s">
        <v>1495</v>
      </c>
      <c r="H28" s="283" t="s">
        <v>1496</v>
      </c>
      <c r="I28" s="283" t="s">
        <v>1497</v>
      </c>
      <c r="J28" s="283" t="s">
        <v>136</v>
      </c>
      <c r="K28" s="33" t="s">
        <v>234</v>
      </c>
      <c r="L28" s="175"/>
      <c r="M28" s="965" t="str">
        <f t="shared" si="3"/>
        <v>E1RHDO</v>
      </c>
      <c r="N28" s="954" t="s">
        <v>478</v>
      </c>
      <c r="O28" s="968" t="s">
        <v>1552</v>
      </c>
      <c r="P28" s="900">
        <v>21030.195636098775</v>
      </c>
      <c r="Q28" s="1000">
        <v>129234.83</v>
      </c>
      <c r="R28" s="1001">
        <f>'Tariff Rand Values 2024-25 Actu'!W20</f>
        <v>113644.3327588918</v>
      </c>
      <c r="S28" s="1006">
        <f t="shared" si="4"/>
        <v>127736.23002099439</v>
      </c>
      <c r="T28" s="1003">
        <f>'Tariff Rand Values 2026-27'!W22</f>
        <v>142689.39867151284</v>
      </c>
      <c r="U28" s="1003">
        <f t="shared" si="5"/>
        <v>152948.76643599462</v>
      </c>
      <c r="V28" s="1003">
        <f t="shared" si="6"/>
        <v>156772.48559689446</v>
      </c>
      <c r="W28" s="338" t="str">
        <f>CONCATENATE($W$27,N28,M28)</f>
        <v>Exchange Revenue:  Service Charges - Electricity:  Sales - Domestic Low:  Prepaid E1RHDO</v>
      </c>
      <c r="X28" s="187"/>
      <c r="Y28" s="37"/>
    </row>
    <row r="29" spans="1:29" ht="16.5" customHeight="1" outlineLevel="3" x14ac:dyDescent="0.35">
      <c r="A29" s="912">
        <v>14</v>
      </c>
      <c r="B29" s="913">
        <v>7</v>
      </c>
      <c r="C29" s="914">
        <v>1</v>
      </c>
      <c r="D29" s="913">
        <v>32</v>
      </c>
      <c r="E29" s="915" t="s">
        <v>227</v>
      </c>
      <c r="F29" s="915" t="s">
        <v>1729</v>
      </c>
      <c r="G29" s="915" t="s">
        <v>1495</v>
      </c>
      <c r="H29" s="915" t="s">
        <v>1496</v>
      </c>
      <c r="I29" s="915" t="s">
        <v>1497</v>
      </c>
      <c r="J29" s="915" t="s">
        <v>136</v>
      </c>
      <c r="K29" s="916" t="s">
        <v>234</v>
      </c>
      <c r="L29" s="917"/>
      <c r="M29" s="918" t="str">
        <f t="shared" si="3"/>
        <v>ELREBC</v>
      </c>
      <c r="N29" s="919" t="s">
        <v>478</v>
      </c>
      <c r="O29" s="920" t="s">
        <v>1553</v>
      </c>
      <c r="P29" s="921">
        <v>13661.669349518401</v>
      </c>
      <c r="Q29" s="1007">
        <v>88205.99</v>
      </c>
      <c r="R29" s="1008">
        <f>'Tariff Rand Values 2024-25 Actu'!V17+'Tariff Rand Values 2024-25 Actu'!W17</f>
        <v>50563.199999999997</v>
      </c>
      <c r="S29" s="1009">
        <f>'Tariff Rand Values 2025-26'!I17</f>
        <v>216672.07048272796</v>
      </c>
      <c r="T29" s="1010">
        <f>'Tariff Rand Values 2026-27'!I19</f>
        <v>269351.79961927439</v>
      </c>
      <c r="U29" s="1010">
        <f t="shared" si="5"/>
        <v>288718.19401190022</v>
      </c>
      <c r="V29" s="1010">
        <f t="shared" si="6"/>
        <v>295936.1488621977</v>
      </c>
      <c r="W29" s="891" t="s">
        <v>47</v>
      </c>
      <c r="X29" s="892" t="s">
        <v>1909</v>
      </c>
      <c r="Y29" s="893"/>
    </row>
    <row r="30" spans="1:29" s="39" customFormat="1" ht="16.5" customHeight="1" outlineLevel="3" x14ac:dyDescent="0.35">
      <c r="A30" s="174"/>
      <c r="B30" s="34"/>
      <c r="C30" s="36"/>
      <c r="D30" s="34"/>
      <c r="E30" s="283"/>
      <c r="F30" s="283"/>
      <c r="G30" s="283"/>
      <c r="H30" s="283"/>
      <c r="I30" s="283"/>
      <c r="J30" s="283"/>
      <c r="K30" s="33"/>
      <c r="L30" s="173"/>
      <c r="M30" s="839"/>
      <c r="N30" s="314"/>
      <c r="O30" s="902" t="s">
        <v>1929</v>
      </c>
      <c r="P30" s="895"/>
      <c r="Q30" s="1116"/>
      <c r="R30" s="1004"/>
      <c r="S30" s="1005"/>
      <c r="T30" s="999"/>
      <c r="U30" s="999"/>
      <c r="V30" s="999"/>
      <c r="W30" s="335"/>
      <c r="X30" s="241"/>
      <c r="Z30"/>
      <c r="AA30" s="1061">
        <f>SUM(S31:S37)</f>
        <v>37654931.397391409</v>
      </c>
      <c r="AB30" s="39">
        <f>'Tariff Rand Values 2025-26'!I21</f>
        <v>37654931.397391401</v>
      </c>
      <c r="AC30" s="981">
        <f>AA30-AB30</f>
        <v>0</v>
      </c>
    </row>
    <row r="31" spans="1:29" ht="16.5" customHeight="1" outlineLevel="3" x14ac:dyDescent="0.35">
      <c r="A31" s="174">
        <v>14</v>
      </c>
      <c r="B31" s="34">
        <v>7</v>
      </c>
      <c r="C31" s="36">
        <v>1</v>
      </c>
      <c r="D31" s="34">
        <v>32</v>
      </c>
      <c r="E31" s="283" t="s">
        <v>227</v>
      </c>
      <c r="F31" s="283" t="s">
        <v>146</v>
      </c>
      <c r="G31" s="283" t="s">
        <v>1495</v>
      </c>
      <c r="H31" s="283" t="s">
        <v>1496</v>
      </c>
      <c r="I31" s="283" t="s">
        <v>1497</v>
      </c>
      <c r="J31" s="283" t="s">
        <v>136</v>
      </c>
      <c r="K31" s="33" t="s">
        <v>234</v>
      </c>
      <c r="L31" s="175"/>
      <c r="M31" s="965" t="str">
        <f t="shared" si="3"/>
        <v>ELRLDP</v>
      </c>
      <c r="N31" s="954"/>
      <c r="O31" s="966" t="s">
        <v>1504</v>
      </c>
      <c r="P31" s="900">
        <v>4473866.991514843</v>
      </c>
      <c r="Q31" s="1000">
        <v>11139215.779999999</v>
      </c>
      <c r="R31" s="1001">
        <f>'Tariff Rand Values 2024-25 Actu'!V23</f>
        <v>4428867.5211874805</v>
      </c>
      <c r="S31" s="1006">
        <f t="shared" si="4"/>
        <v>4978047.0938147288</v>
      </c>
      <c r="T31" s="1003">
        <f t="shared" ref="T31:T36" si="7">S31*(1+$T$2)</f>
        <v>5470873.7561023869</v>
      </c>
      <c r="U31" s="1003">
        <f t="shared" ref="U31:U37" si="8">T31*(1+$U$2)</f>
        <v>5864229.5791661488</v>
      </c>
      <c r="V31" s="1003">
        <f t="shared" si="6"/>
        <v>6010835.3186453022</v>
      </c>
      <c r="W31" s="338"/>
      <c r="X31" s="187"/>
      <c r="Y31" s="37"/>
    </row>
    <row r="32" spans="1:29" ht="16.5" customHeight="1" outlineLevel="3" x14ac:dyDescent="0.35">
      <c r="A32" s="174">
        <v>14</v>
      </c>
      <c r="B32" s="34">
        <v>7</v>
      </c>
      <c r="C32" s="36">
        <v>1</v>
      </c>
      <c r="D32" s="34">
        <v>32</v>
      </c>
      <c r="E32" s="283" t="s">
        <v>227</v>
      </c>
      <c r="F32" s="283" t="s">
        <v>147</v>
      </c>
      <c r="G32" s="283" t="s">
        <v>1495</v>
      </c>
      <c r="H32" s="283" t="s">
        <v>1496</v>
      </c>
      <c r="I32" s="283" t="s">
        <v>1497</v>
      </c>
      <c r="J32" s="283" t="s">
        <v>136</v>
      </c>
      <c r="K32" s="33" t="s">
        <v>234</v>
      </c>
      <c r="L32" s="175"/>
      <c r="M32" s="965" t="str">
        <f t="shared" si="3"/>
        <v>ELRLDS</v>
      </c>
      <c r="N32" s="954"/>
      <c r="O32" s="967" t="s">
        <v>1554</v>
      </c>
      <c r="P32" s="900">
        <v>6827927.3718593353</v>
      </c>
      <c r="Q32" s="1000">
        <v>28464.71</v>
      </c>
      <c r="R32" s="1001">
        <f>'Tariff Rand Values 2024-25 Actu'!V24</f>
        <v>7267061.0316332234</v>
      </c>
      <c r="S32" s="1006">
        <f t="shared" si="4"/>
        <v>8168176.5995557439</v>
      </c>
      <c r="T32" s="1003">
        <f t="shared" si="7"/>
        <v>8976826.0829117615</v>
      </c>
      <c r="U32" s="1003">
        <f t="shared" si="8"/>
        <v>9622259.8782731183</v>
      </c>
      <c r="V32" s="1003">
        <f t="shared" si="6"/>
        <v>9862816.3752299454</v>
      </c>
      <c r="W32" s="338"/>
      <c r="X32" s="187"/>
      <c r="Y32" s="37"/>
    </row>
    <row r="33" spans="1:29" ht="16.5" customHeight="1" outlineLevel="3" x14ac:dyDescent="0.35">
      <c r="A33" s="174">
        <v>14</v>
      </c>
      <c r="B33" s="34">
        <v>7</v>
      </c>
      <c r="C33" s="36">
        <v>1</v>
      </c>
      <c r="D33" s="34">
        <v>32</v>
      </c>
      <c r="E33" s="283" t="s">
        <v>227</v>
      </c>
      <c r="F33" s="283" t="s">
        <v>148</v>
      </c>
      <c r="G33" s="283" t="s">
        <v>1495</v>
      </c>
      <c r="H33" s="283" t="s">
        <v>1496</v>
      </c>
      <c r="I33" s="283" t="s">
        <v>1497</v>
      </c>
      <c r="J33" s="283" t="s">
        <v>136</v>
      </c>
      <c r="K33" s="33" t="s">
        <v>234</v>
      </c>
      <c r="L33" s="175"/>
      <c r="M33" s="965" t="str">
        <f t="shared" si="3"/>
        <v>ELRLDO</v>
      </c>
      <c r="N33" s="954"/>
      <c r="O33" s="968" t="s">
        <v>1555</v>
      </c>
      <c r="P33" s="900">
        <v>6476170.8196883928</v>
      </c>
      <c r="Q33" s="1000">
        <v>6673808.2599999998</v>
      </c>
      <c r="R33" s="1001">
        <f>'Tariff Rand Values 2024-25 Actu'!V25</f>
        <v>7099024.1691673705</v>
      </c>
      <c r="S33" s="1006">
        <f t="shared" si="4"/>
        <v>7979303.1661441252</v>
      </c>
      <c r="T33" s="1003">
        <f t="shared" si="7"/>
        <v>8769254.1795923933</v>
      </c>
      <c r="U33" s="1003">
        <f t="shared" si="8"/>
        <v>9399763.5551050864</v>
      </c>
      <c r="V33" s="1003">
        <f t="shared" si="6"/>
        <v>9634757.6439827122</v>
      </c>
      <c r="W33" s="338"/>
      <c r="X33" s="187"/>
      <c r="Y33" s="37"/>
    </row>
    <row r="34" spans="1:29" ht="16.5" customHeight="1" outlineLevel="3" x14ac:dyDescent="0.35">
      <c r="A34" s="174">
        <v>14</v>
      </c>
      <c r="B34" s="34">
        <v>7</v>
      </c>
      <c r="C34" s="36">
        <v>1</v>
      </c>
      <c r="D34" s="34">
        <v>32</v>
      </c>
      <c r="E34" s="283" t="s">
        <v>227</v>
      </c>
      <c r="F34" s="283" t="s">
        <v>144</v>
      </c>
      <c r="G34" s="283" t="s">
        <v>1495</v>
      </c>
      <c r="H34" s="283" t="s">
        <v>1496</v>
      </c>
      <c r="I34" s="283" t="s">
        <v>1497</v>
      </c>
      <c r="J34" s="283" t="s">
        <v>136</v>
      </c>
      <c r="K34" s="33" t="s">
        <v>234</v>
      </c>
      <c r="L34" s="175"/>
      <c r="M34" s="965" t="str">
        <f t="shared" si="3"/>
        <v>ELRHDP</v>
      </c>
      <c r="N34" s="954"/>
      <c r="O34" s="967" t="s">
        <v>1557</v>
      </c>
      <c r="P34" s="900">
        <v>3148745.2654531379</v>
      </c>
      <c r="Q34" s="1000">
        <v>3685691.26</v>
      </c>
      <c r="R34" s="1001">
        <f>'Tariff Rand Values 2024-25 Actu'!W23</f>
        <v>4113908.5508391894</v>
      </c>
      <c r="S34" s="1006">
        <f t="shared" si="4"/>
        <v>4624033.2111432496</v>
      </c>
      <c r="T34" s="1003">
        <f t="shared" si="7"/>
        <v>5081812.4990464309</v>
      </c>
      <c r="U34" s="1003">
        <f t="shared" si="8"/>
        <v>5447194.8177278694</v>
      </c>
      <c r="V34" s="1003">
        <f t="shared" si="6"/>
        <v>5583374.6881710654</v>
      </c>
      <c r="W34" s="338"/>
      <c r="X34" s="187"/>
      <c r="Y34" s="37"/>
    </row>
    <row r="35" spans="1:29" ht="16.5" customHeight="1" outlineLevel="3" x14ac:dyDescent="0.35">
      <c r="A35" s="174">
        <v>14</v>
      </c>
      <c r="B35" s="34">
        <v>7</v>
      </c>
      <c r="C35" s="36">
        <v>1</v>
      </c>
      <c r="D35" s="34">
        <v>32</v>
      </c>
      <c r="E35" s="283" t="s">
        <v>227</v>
      </c>
      <c r="F35" s="283" t="s">
        <v>155</v>
      </c>
      <c r="G35" s="283" t="s">
        <v>1495</v>
      </c>
      <c r="H35" s="283" t="s">
        <v>1496</v>
      </c>
      <c r="I35" s="283" t="s">
        <v>1497</v>
      </c>
      <c r="J35" s="283" t="s">
        <v>136</v>
      </c>
      <c r="K35" s="33" t="s">
        <v>234</v>
      </c>
      <c r="L35" s="175"/>
      <c r="M35" s="965" t="str">
        <f t="shared" si="3"/>
        <v>ELRHDS</v>
      </c>
      <c r="N35" s="954"/>
      <c r="O35" s="967" t="s">
        <v>1556</v>
      </c>
      <c r="P35" s="900">
        <v>3740189.1553144054</v>
      </c>
      <c r="Q35" s="1000">
        <v>4239995.53</v>
      </c>
      <c r="R35" s="1001">
        <f>'Tariff Rand Values 2024-25 Actu'!W24</f>
        <v>4680867.399451945</v>
      </c>
      <c r="S35" s="1006">
        <f t="shared" si="4"/>
        <v>5261294.9569839863</v>
      </c>
      <c r="T35" s="1003">
        <f t="shared" si="7"/>
        <v>5782163.1577254012</v>
      </c>
      <c r="U35" s="1003">
        <f t="shared" si="8"/>
        <v>6197900.6887658583</v>
      </c>
      <c r="V35" s="1003">
        <f t="shared" si="6"/>
        <v>6352848.2059850041</v>
      </c>
      <c r="W35" s="338"/>
      <c r="X35" s="187"/>
      <c r="Y35" s="37"/>
    </row>
    <row r="36" spans="1:29" ht="16.5" customHeight="1" outlineLevel="3" x14ac:dyDescent="0.35">
      <c r="A36" s="174">
        <v>14</v>
      </c>
      <c r="B36" s="34">
        <v>7</v>
      </c>
      <c r="C36" s="36">
        <v>1</v>
      </c>
      <c r="D36" s="34">
        <v>32</v>
      </c>
      <c r="E36" s="283" t="s">
        <v>227</v>
      </c>
      <c r="F36" s="283" t="s">
        <v>145</v>
      </c>
      <c r="G36" s="283" t="s">
        <v>1495</v>
      </c>
      <c r="H36" s="283" t="s">
        <v>1496</v>
      </c>
      <c r="I36" s="283" t="s">
        <v>1497</v>
      </c>
      <c r="J36" s="283" t="s">
        <v>136</v>
      </c>
      <c r="K36" s="33" t="s">
        <v>234</v>
      </c>
      <c r="L36" s="175"/>
      <c r="M36" s="965" t="str">
        <f t="shared" si="3"/>
        <v>ELRHDO</v>
      </c>
      <c r="N36" s="954"/>
      <c r="O36" s="967" t="s">
        <v>1558</v>
      </c>
      <c r="P36" s="900">
        <v>3290474.9111827151</v>
      </c>
      <c r="Q36" s="1000">
        <v>4160736.05</v>
      </c>
      <c r="R36" s="1001">
        <f>'Tariff Rand Values 2024-25 Actu'!W25</f>
        <v>4272841.6313497219</v>
      </c>
      <c r="S36" s="1006">
        <f t="shared" si="4"/>
        <v>4802673.9936370878</v>
      </c>
      <c r="T36" s="1003">
        <f t="shared" si="7"/>
        <v>5278138.7190071596</v>
      </c>
      <c r="U36" s="1003">
        <f t="shared" si="8"/>
        <v>5657636.892903775</v>
      </c>
      <c r="V36" s="1003">
        <f t="shared" si="6"/>
        <v>5799077.8152263686</v>
      </c>
      <c r="W36" s="338"/>
      <c r="X36" s="187"/>
      <c r="Y36" s="37"/>
    </row>
    <row r="37" spans="1:29" ht="16.5" customHeight="1" outlineLevel="3" x14ac:dyDescent="0.35">
      <c r="A37" s="912">
        <v>14</v>
      </c>
      <c r="B37" s="913">
        <v>7</v>
      </c>
      <c r="C37" s="914">
        <v>1</v>
      </c>
      <c r="D37" s="913">
        <v>32</v>
      </c>
      <c r="E37" s="915" t="s">
        <v>227</v>
      </c>
      <c r="F37" s="915" t="s">
        <v>149</v>
      </c>
      <c r="G37" s="915" t="s">
        <v>1495</v>
      </c>
      <c r="H37" s="915" t="s">
        <v>1496</v>
      </c>
      <c r="I37" s="915" t="s">
        <v>1497</v>
      </c>
      <c r="J37" s="915" t="s">
        <v>136</v>
      </c>
      <c r="K37" s="916" t="s">
        <v>234</v>
      </c>
      <c r="L37" s="917"/>
      <c r="M37" s="918" t="str">
        <f t="shared" si="3"/>
        <v>ELROBC</v>
      </c>
      <c r="N37" s="919"/>
      <c r="O37" s="920" t="s">
        <v>1505</v>
      </c>
      <c r="P37" s="921">
        <v>1206338.8119620541</v>
      </c>
      <c r="Q37" s="1007">
        <v>1285880.3500000001</v>
      </c>
      <c r="R37" s="1008">
        <f>'Tariff Rand Values 2024-25 Actu'!V22+'Tariff Rand Values 2024-25 Actu'!W22</f>
        <v>1638305.7600000002</v>
      </c>
      <c r="S37" s="1009">
        <f>'Tariff Rand Values 2025-26'!I22</f>
        <v>1841402.3761124865</v>
      </c>
      <c r="T37" s="1010">
        <f>'Tariff Rand Values 2026-27'!I24</f>
        <v>1901389.5996727671</v>
      </c>
      <c r="U37" s="1010">
        <f t="shared" si="8"/>
        <v>2038099.5118892393</v>
      </c>
      <c r="V37" s="1010">
        <f t="shared" si="6"/>
        <v>2089051.99968647</v>
      </c>
      <c r="W37" s="891"/>
      <c r="X37" s="892"/>
      <c r="Y37" s="893"/>
    </row>
    <row r="38" spans="1:29" s="39" customFormat="1" ht="16.5" customHeight="1" outlineLevel="3" x14ac:dyDescent="0.35">
      <c r="A38" s="174"/>
      <c r="B38" s="34"/>
      <c r="C38" s="36"/>
      <c r="D38" s="34"/>
      <c r="E38" s="283"/>
      <c r="F38" s="283"/>
      <c r="G38" s="283"/>
      <c r="H38" s="283"/>
      <c r="I38" s="283"/>
      <c r="J38" s="283"/>
      <c r="K38" s="33"/>
      <c r="L38" s="173"/>
      <c r="M38" s="840"/>
      <c r="N38" s="314"/>
      <c r="O38" s="903" t="s">
        <v>1536</v>
      </c>
      <c r="P38" s="900"/>
      <c r="Q38" s="1116"/>
      <c r="R38" s="1004"/>
      <c r="S38" s="1011"/>
      <c r="T38" s="999"/>
      <c r="U38" s="999"/>
      <c r="V38" s="999"/>
      <c r="W38" s="335"/>
      <c r="X38" s="241"/>
      <c r="Y38" s="841"/>
      <c r="Z38"/>
      <c r="AA38" s="1061">
        <f>SUM(S39:S46)</f>
        <v>85144547.214313909</v>
      </c>
      <c r="AB38" s="39">
        <f>'Tariff Rand Values 2025-26'!I61</f>
        <v>85144547.214313895</v>
      </c>
      <c r="AC38" s="981">
        <f>AA38-AB38</f>
        <v>0</v>
      </c>
    </row>
    <row r="39" spans="1:29" s="39" customFormat="1" ht="16.5" customHeight="1" outlineLevel="3" x14ac:dyDescent="0.35">
      <c r="A39" s="174">
        <v>14</v>
      </c>
      <c r="B39" s="34">
        <v>7</v>
      </c>
      <c r="C39" s="36">
        <v>1</v>
      </c>
      <c r="D39" s="34">
        <v>32</v>
      </c>
      <c r="E39" s="283" t="s">
        <v>227</v>
      </c>
      <c r="F39" s="283" t="s">
        <v>1740</v>
      </c>
      <c r="G39" s="283" t="s">
        <v>1495</v>
      </c>
      <c r="H39" s="283" t="s">
        <v>1496</v>
      </c>
      <c r="I39" s="283" t="s">
        <v>1497</v>
      </c>
      <c r="J39" s="283" t="s">
        <v>136</v>
      </c>
      <c r="K39" s="636" t="s">
        <v>234</v>
      </c>
      <c r="L39" s="173"/>
      <c r="M39" s="957" t="str">
        <f t="shared" ref="M39:M46" si="9">RIGHT(O39,6)</f>
        <v>ELP004</v>
      </c>
      <c r="N39" s="954" t="s">
        <v>478</v>
      </c>
      <c r="O39" s="955" t="s">
        <v>1559</v>
      </c>
      <c r="P39" s="900">
        <v>9974970.4289686643</v>
      </c>
      <c r="Q39" s="1000">
        <v>10183335.65</v>
      </c>
      <c r="R39" s="1001">
        <f>'Tariff Rand Values 2024-25 Actu'!V64</f>
        <v>10066547.585245382</v>
      </c>
      <c r="S39" s="1006">
        <f t="shared" ref="S39:S46" si="10">R39*(1+$S$2)</f>
        <v>11314799.48581581</v>
      </c>
      <c r="T39" s="1003">
        <f t="shared" ref="T39:T46" si="11">S39*(1+$T$2)</f>
        <v>12434964.634911574</v>
      </c>
      <c r="U39" s="1003">
        <f t="shared" ref="U39:U46" si="12">T39*(1+$U$2)</f>
        <v>13329038.592161717</v>
      </c>
      <c r="V39" s="1003">
        <f t="shared" si="6"/>
        <v>13662264.556965759</v>
      </c>
      <c r="W39" s="339" t="s">
        <v>50</v>
      </c>
      <c r="X39" s="243" t="s">
        <v>1910</v>
      </c>
      <c r="Y39" s="37"/>
      <c r="Z39"/>
    </row>
    <row r="40" spans="1:29" ht="16.5" customHeight="1" outlineLevel="3" x14ac:dyDescent="0.35">
      <c r="A40" s="174">
        <v>14</v>
      </c>
      <c r="B40" s="34">
        <v>7</v>
      </c>
      <c r="C40" s="36">
        <v>1</v>
      </c>
      <c r="D40" s="34">
        <v>32</v>
      </c>
      <c r="E40" s="283" t="s">
        <v>227</v>
      </c>
      <c r="F40" s="283" t="s">
        <v>1743</v>
      </c>
      <c r="G40" s="283" t="s">
        <v>1495</v>
      </c>
      <c r="H40" s="283" t="s">
        <v>1496</v>
      </c>
      <c r="I40" s="283" t="s">
        <v>1497</v>
      </c>
      <c r="J40" s="283" t="s">
        <v>136</v>
      </c>
      <c r="K40" s="33" t="s">
        <v>234</v>
      </c>
      <c r="L40" s="175"/>
      <c r="M40" s="958" t="str">
        <f t="shared" si="9"/>
        <v>ELS004</v>
      </c>
      <c r="N40" s="954" t="s">
        <v>478</v>
      </c>
      <c r="O40" s="959" t="s">
        <v>1560</v>
      </c>
      <c r="P40" s="900">
        <v>16779315.056944616</v>
      </c>
      <c r="Q40" s="1000">
        <v>16597416.300000001</v>
      </c>
      <c r="R40" s="1001">
        <f>'Tariff Rand Values 2024-25 Actu'!V65</f>
        <v>16499608.886409208</v>
      </c>
      <c r="S40" s="1006">
        <f t="shared" si="10"/>
        <v>18545560.388323952</v>
      </c>
      <c r="T40" s="1003">
        <f t="shared" si="11"/>
        <v>20381570.866768021</v>
      </c>
      <c r="U40" s="1003">
        <f t="shared" si="12"/>
        <v>21847005.812088642</v>
      </c>
      <c r="V40" s="1003">
        <f t="shared" si="6"/>
        <v>22393180.957390856</v>
      </c>
      <c r="W40" s="340" t="str">
        <f>CONCATENATE($W$39,N40,M40)</f>
        <v>Exchange Revenue:  Service Charges - Electricity:  Sales - Domestic High:  Home power Bulk ELS004</v>
      </c>
      <c r="X40" s="188"/>
      <c r="Y40" s="37"/>
    </row>
    <row r="41" spans="1:29" ht="16.5" customHeight="1" outlineLevel="3" x14ac:dyDescent="0.35">
      <c r="A41" s="174">
        <v>14</v>
      </c>
      <c r="B41" s="34">
        <v>7</v>
      </c>
      <c r="C41" s="36">
        <v>1</v>
      </c>
      <c r="D41" s="34">
        <v>32</v>
      </c>
      <c r="E41" s="283" t="s">
        <v>227</v>
      </c>
      <c r="F41" s="283" t="s">
        <v>1746</v>
      </c>
      <c r="G41" s="283" t="s">
        <v>1495</v>
      </c>
      <c r="H41" s="283" t="s">
        <v>1496</v>
      </c>
      <c r="I41" s="283" t="s">
        <v>1497</v>
      </c>
      <c r="J41" s="283" t="s">
        <v>136</v>
      </c>
      <c r="K41" s="33" t="s">
        <v>234</v>
      </c>
      <c r="L41" s="175"/>
      <c r="M41" s="958" t="str">
        <f t="shared" si="9"/>
        <v>ELO004</v>
      </c>
      <c r="N41" s="954" t="s">
        <v>478</v>
      </c>
      <c r="O41" s="959" t="s">
        <v>1506</v>
      </c>
      <c r="P41" s="900">
        <v>14068124.512751164</v>
      </c>
      <c r="Q41" s="1000">
        <v>15238629.5</v>
      </c>
      <c r="R41" s="1001">
        <f>'Tariff Rand Values 2024-25 Actu'!V66</f>
        <v>15988053.028018354</v>
      </c>
      <c r="S41" s="1006">
        <f t="shared" si="10"/>
        <v>17970571.603492633</v>
      </c>
      <c r="T41" s="1003">
        <f t="shared" si="11"/>
        <v>19749658.192238402</v>
      </c>
      <c r="U41" s="1003">
        <f t="shared" si="12"/>
        <v>21169658.616260346</v>
      </c>
      <c r="V41" s="1003">
        <f t="shared" si="6"/>
        <v>21698900.081666853</v>
      </c>
      <c r="W41" s="340" t="str">
        <f>CONCATENATE($W$39,N41,M41)</f>
        <v>Exchange Revenue:  Service Charges - Electricity:  Sales - Domestic High:  Home power Bulk ELO004</v>
      </c>
      <c r="X41" s="188"/>
      <c r="Y41" s="37"/>
    </row>
    <row r="42" spans="1:29" s="39" customFormat="1" ht="16.5" customHeight="1" outlineLevel="3" x14ac:dyDescent="0.35">
      <c r="A42" s="174">
        <v>14</v>
      </c>
      <c r="B42" s="34">
        <v>7</v>
      </c>
      <c r="C42" s="36">
        <v>1</v>
      </c>
      <c r="D42" s="34">
        <v>32</v>
      </c>
      <c r="E42" s="283" t="s">
        <v>227</v>
      </c>
      <c r="F42" s="283" t="s">
        <v>1732</v>
      </c>
      <c r="G42" s="283" t="s">
        <v>1495</v>
      </c>
      <c r="H42" s="283" t="s">
        <v>1496</v>
      </c>
      <c r="I42" s="283" t="s">
        <v>1497</v>
      </c>
      <c r="J42" s="283" t="s">
        <v>136</v>
      </c>
      <c r="K42" s="636" t="s">
        <v>234</v>
      </c>
      <c r="L42" s="173"/>
      <c r="M42" s="957" t="str">
        <f t="shared" si="9"/>
        <v>ELHPO4</v>
      </c>
      <c r="N42" s="954" t="s">
        <v>478</v>
      </c>
      <c r="O42" s="955" t="s">
        <v>1561</v>
      </c>
      <c r="P42" s="900">
        <v>5908222.8670512289</v>
      </c>
      <c r="Q42" s="1000">
        <v>7221320.79</v>
      </c>
      <c r="R42" s="1001">
        <f>'Tariff Rand Values 2024-25 Actu'!W64</f>
        <v>7927035.962643126</v>
      </c>
      <c r="S42" s="1006">
        <f t="shared" si="10"/>
        <v>8909988.4220108744</v>
      </c>
      <c r="T42" s="1003">
        <f t="shared" si="11"/>
        <v>9792077.27578995</v>
      </c>
      <c r="U42" s="1003">
        <f t="shared" si="12"/>
        <v>10496127.631919248</v>
      </c>
      <c r="V42" s="1003">
        <f t="shared" si="6"/>
        <v>10758530.822717229</v>
      </c>
      <c r="W42" s="337" t="s">
        <v>73</v>
      </c>
      <c r="X42" s="243" t="s">
        <v>1911</v>
      </c>
      <c r="Y42" s="37"/>
      <c r="Z42"/>
    </row>
    <row r="43" spans="1:29" ht="16.5" customHeight="1" outlineLevel="3" x14ac:dyDescent="0.35">
      <c r="A43" s="174">
        <v>14</v>
      </c>
      <c r="B43" s="34">
        <v>7</v>
      </c>
      <c r="C43" s="36">
        <v>1</v>
      </c>
      <c r="D43" s="34">
        <v>32</v>
      </c>
      <c r="E43" s="283" t="s">
        <v>227</v>
      </c>
      <c r="F43" s="283" t="s">
        <v>1735</v>
      </c>
      <c r="G43" s="283" t="s">
        <v>1495</v>
      </c>
      <c r="H43" s="283" t="s">
        <v>1496</v>
      </c>
      <c r="I43" s="283" t="s">
        <v>1497</v>
      </c>
      <c r="J43" s="283" t="s">
        <v>136</v>
      </c>
      <c r="K43" s="33" t="s">
        <v>234</v>
      </c>
      <c r="L43" s="175"/>
      <c r="M43" s="965" t="str">
        <f t="shared" si="9"/>
        <v>ELHSO4</v>
      </c>
      <c r="N43" s="954" t="s">
        <v>478</v>
      </c>
      <c r="O43" s="959" t="s">
        <v>1562</v>
      </c>
      <c r="P43" s="900">
        <v>8876747.5510940608</v>
      </c>
      <c r="Q43" s="1000">
        <v>10055469.09</v>
      </c>
      <c r="R43" s="1001">
        <f>'Tariff Rand Values 2024-25 Actu'!W65</f>
        <v>10875292.998844825</v>
      </c>
      <c r="S43" s="1006">
        <f t="shared" si="10"/>
        <v>12223829.330701584</v>
      </c>
      <c r="T43" s="1003">
        <f t="shared" si="11"/>
        <v>13433988.434441041</v>
      </c>
      <c r="U43" s="1003">
        <f t="shared" si="12"/>
        <v>14399892.202877354</v>
      </c>
      <c r="V43" s="1003">
        <f t="shared" si="6"/>
        <v>14759889.507949287</v>
      </c>
      <c r="W43" s="338" t="str">
        <f>CONCATENATE($W$42,N43,M43)</f>
        <v>Exchange Revenue:  Service Charges - Electricity:  Sales - Domestic High:  Home power 4 ELHSO4</v>
      </c>
      <c r="X43" s="188"/>
      <c r="Y43" s="37"/>
    </row>
    <row r="44" spans="1:29" ht="16.5" customHeight="1" outlineLevel="3" x14ac:dyDescent="0.35">
      <c r="A44" s="174">
        <v>14</v>
      </c>
      <c r="B44" s="34">
        <v>7</v>
      </c>
      <c r="C44" s="36">
        <v>1</v>
      </c>
      <c r="D44" s="34">
        <v>32</v>
      </c>
      <c r="E44" s="283" t="s">
        <v>227</v>
      </c>
      <c r="F44" s="283" t="s">
        <v>242</v>
      </c>
      <c r="G44" s="283" t="s">
        <v>1495</v>
      </c>
      <c r="H44" s="283" t="s">
        <v>1496</v>
      </c>
      <c r="I44" s="283" t="s">
        <v>1497</v>
      </c>
      <c r="J44" s="283" t="s">
        <v>136</v>
      </c>
      <c r="K44" s="33" t="s">
        <v>234</v>
      </c>
      <c r="L44" s="175"/>
      <c r="M44" s="965" t="str">
        <f t="shared" si="9"/>
        <v>ELHO04</v>
      </c>
      <c r="N44" s="954" t="s">
        <v>478</v>
      </c>
      <c r="O44" s="959" t="s">
        <v>1563</v>
      </c>
      <c r="P44" s="900">
        <v>7991100.1998909181</v>
      </c>
      <c r="Q44" s="1000">
        <v>9321379.8000000007</v>
      </c>
      <c r="R44" s="1001">
        <f>'Tariff Rand Values 2024-25 Actu'!W66</f>
        <v>9776713.4713659771</v>
      </c>
      <c r="S44" s="1006">
        <f t="shared" si="10"/>
        <v>10989025.94181536</v>
      </c>
      <c r="T44" s="1003">
        <f t="shared" si="11"/>
        <v>12076939.51005508</v>
      </c>
      <c r="U44" s="1003">
        <f t="shared" si="12"/>
        <v>12945271.460828042</v>
      </c>
      <c r="V44" s="1003">
        <f t="shared" si="6"/>
        <v>13268903.247348741</v>
      </c>
      <c r="W44" s="338" t="str">
        <f>CONCATENATE($W$42,N44,M44)</f>
        <v>Exchange Revenue:  Service Charges - Electricity:  Sales - Domestic High:  Home power 4 ELHO04</v>
      </c>
      <c r="X44" s="188"/>
      <c r="Y44" s="37"/>
    </row>
    <row r="45" spans="1:29" ht="16.5" customHeight="1" outlineLevel="3" x14ac:dyDescent="0.35">
      <c r="A45" s="912">
        <v>14</v>
      </c>
      <c r="B45" s="913">
        <v>7</v>
      </c>
      <c r="C45" s="914">
        <v>1</v>
      </c>
      <c r="D45" s="913">
        <v>32</v>
      </c>
      <c r="E45" s="915" t="s">
        <v>227</v>
      </c>
      <c r="F45" s="915" t="s">
        <v>1748</v>
      </c>
      <c r="G45" s="915" t="s">
        <v>1495</v>
      </c>
      <c r="H45" s="915" t="s">
        <v>1496</v>
      </c>
      <c r="I45" s="915" t="s">
        <v>1497</v>
      </c>
      <c r="J45" s="915" t="s">
        <v>136</v>
      </c>
      <c r="K45" s="916" t="s">
        <v>234</v>
      </c>
      <c r="L45" s="917"/>
      <c r="M45" s="918" t="str">
        <f t="shared" si="9"/>
        <v>ACC004</v>
      </c>
      <c r="N45" s="919" t="s">
        <v>478</v>
      </c>
      <c r="O45" s="920" t="s">
        <v>1564</v>
      </c>
      <c r="P45" s="921">
        <v>1401962.3957556672</v>
      </c>
      <c r="Q45" s="1007">
        <v>1070565.8500000001</v>
      </c>
      <c r="R45" s="1010">
        <f>'Tariff Rand Values 2024-25 Actu'!V62+'Tariff Rand Values 2024-25 Actu'!W62</f>
        <v>1716912</v>
      </c>
      <c r="S45" s="1009">
        <f>'Tariff Rand Values 2025-26'!I62</f>
        <v>1929748.3487705898</v>
      </c>
      <c r="T45" s="1010">
        <f>'Tariff Rand Values 2026-27'!I66</f>
        <v>1979407.2062789521</v>
      </c>
      <c r="U45" s="1010">
        <f t="shared" si="12"/>
        <v>2121726.584410409</v>
      </c>
      <c r="V45" s="1003">
        <f t="shared" si="6"/>
        <v>2174769.7490206691</v>
      </c>
      <c r="W45" s="891" t="str">
        <f>CONCATENATE($W$39,N45,M45)</f>
        <v>Exchange Revenue:  Service Charges - Electricity:  Sales - Domestic High:  Home power Bulk ACC004</v>
      </c>
      <c r="X45" s="892"/>
      <c r="Y45" s="893"/>
    </row>
    <row r="46" spans="1:29" ht="16.5" customHeight="1" outlineLevel="3" x14ac:dyDescent="0.35">
      <c r="A46" s="174">
        <v>14</v>
      </c>
      <c r="B46" s="34">
        <v>7</v>
      </c>
      <c r="C46" s="36">
        <v>1</v>
      </c>
      <c r="D46" s="34">
        <v>32</v>
      </c>
      <c r="E46" s="283" t="s">
        <v>227</v>
      </c>
      <c r="F46" s="283" t="s">
        <v>1751</v>
      </c>
      <c r="G46" s="283" t="s">
        <v>1495</v>
      </c>
      <c r="H46" s="283" t="s">
        <v>1496</v>
      </c>
      <c r="I46" s="283" t="s">
        <v>1497</v>
      </c>
      <c r="J46" s="283" t="s">
        <v>136</v>
      </c>
      <c r="K46" s="33" t="s">
        <v>234</v>
      </c>
      <c r="L46" s="175"/>
      <c r="M46" s="939" t="str">
        <f t="shared" si="9"/>
        <v>ELK004</v>
      </c>
      <c r="N46" s="940" t="s">
        <v>478</v>
      </c>
      <c r="O46" s="941" t="s">
        <v>1507</v>
      </c>
      <c r="P46" s="942">
        <v>2367423.2821279052</v>
      </c>
      <c r="Q46" s="1012">
        <v>3797348.74</v>
      </c>
      <c r="R46" s="1014">
        <f>'Tariff Rand Values 2024-25 Actu'!V63+'Tariff Rand Values 2024-25 Actu'!W63</f>
        <v>2901266.6311237477</v>
      </c>
      <c r="S46" s="1013">
        <f t="shared" si="10"/>
        <v>3261023.6933830925</v>
      </c>
      <c r="T46" s="1014">
        <f t="shared" si="11"/>
        <v>3583865.0390280187</v>
      </c>
      <c r="U46" s="1014">
        <f t="shared" si="12"/>
        <v>3841544.9353341334</v>
      </c>
      <c r="V46" s="1003">
        <f t="shared" si="6"/>
        <v>3937583.5587174864</v>
      </c>
      <c r="W46" s="340" t="str">
        <f>CONCATENATE($W$39,N46,M46)</f>
        <v>Exchange Revenue:  Service Charges - Electricity:  Sales - Domestic High:  Home power Bulk ELK004</v>
      </c>
      <c r="X46" s="188"/>
      <c r="Y46" s="37"/>
    </row>
    <row r="47" spans="1:29" s="39" customFormat="1" ht="16.5" customHeight="1" outlineLevel="3" x14ac:dyDescent="0.35">
      <c r="A47" s="174"/>
      <c r="B47" s="34"/>
      <c r="C47" s="36"/>
      <c r="D47" s="34"/>
      <c r="E47" s="283"/>
      <c r="F47" s="283"/>
      <c r="G47" s="283"/>
      <c r="H47" s="283"/>
      <c r="I47" s="283"/>
      <c r="J47" s="283"/>
      <c r="K47" s="33"/>
      <c r="L47" s="173"/>
      <c r="M47" s="839"/>
      <c r="N47" s="314"/>
      <c r="O47" s="902" t="s">
        <v>1537</v>
      </c>
      <c r="P47" s="895"/>
      <c r="Q47" s="1116"/>
      <c r="R47" s="1004"/>
      <c r="S47" s="1005"/>
      <c r="T47" s="999"/>
      <c r="U47" s="999"/>
      <c r="V47" s="999"/>
      <c r="W47" s="335"/>
      <c r="X47" s="241"/>
      <c r="Z47"/>
      <c r="AA47" s="1061">
        <f>SUM(S48:S55)</f>
        <v>115107410.4981122</v>
      </c>
      <c r="AB47" s="39">
        <f>'Tariff Rand Values 2025-26'!I67</f>
        <v>115107410.49811217</v>
      </c>
      <c r="AC47" s="981">
        <f>AA47-AB47</f>
        <v>0</v>
      </c>
    </row>
    <row r="48" spans="1:29" ht="16.5" customHeight="1" outlineLevel="3" x14ac:dyDescent="0.35">
      <c r="A48" s="174">
        <v>14</v>
      </c>
      <c r="B48" s="34">
        <v>7</v>
      </c>
      <c r="C48" s="36">
        <v>1</v>
      </c>
      <c r="D48" s="34">
        <v>32</v>
      </c>
      <c r="E48" s="283" t="s">
        <v>227</v>
      </c>
      <c r="F48" s="283" t="s">
        <v>1757</v>
      </c>
      <c r="G48" s="283" t="s">
        <v>1495</v>
      </c>
      <c r="H48" s="283" t="s">
        <v>1496</v>
      </c>
      <c r="I48" s="283" t="s">
        <v>1497</v>
      </c>
      <c r="J48" s="283" t="s">
        <v>136</v>
      </c>
      <c r="K48" s="33" t="s">
        <v>234</v>
      </c>
      <c r="L48" s="175"/>
      <c r="M48" s="953" t="str">
        <f t="shared" ref="M48:M55" si="13">RIGHT(O48,6)</f>
        <v>ELP005</v>
      </c>
      <c r="N48" s="956" t="s">
        <v>478</v>
      </c>
      <c r="O48" s="955" t="s">
        <v>1510</v>
      </c>
      <c r="P48" s="900">
        <v>11981065.973809723</v>
      </c>
      <c r="Q48" s="1000">
        <v>34049290.829999998</v>
      </c>
      <c r="R48" s="1001">
        <f>'Tariff Rand Values 2024-25 Actu'!V70</f>
        <v>12191981.539008167</v>
      </c>
      <c r="S48" s="1006">
        <f t="shared" ref="S48:S55" si="14">R48*(1+$S$2)</f>
        <v>13703787.249845181</v>
      </c>
      <c r="T48" s="1003">
        <f t="shared" ref="T48:T55" si="15">S48*(1+$T$2)</f>
        <v>15060462.187579853</v>
      </c>
      <c r="U48" s="1003">
        <f t="shared" ref="U48:U55" si="16">T48*(1+$U$2)</f>
        <v>16143309.418866847</v>
      </c>
      <c r="V48" s="1003">
        <f t="shared" si="6"/>
        <v>16546892.154338516</v>
      </c>
      <c r="W48" s="340" t="str">
        <f t="shared" ref="W48:W55" si="17">CONCATENATE($W$39,N48,M48)</f>
        <v>Exchange Revenue:  Service Charges - Electricity:  Sales - Domestic High:  Home power Bulk ELP005</v>
      </c>
      <c r="X48" s="188"/>
      <c r="Y48" s="37"/>
    </row>
    <row r="49" spans="1:29" ht="16.5" customHeight="1" outlineLevel="3" x14ac:dyDescent="0.35">
      <c r="A49" s="174">
        <v>14</v>
      </c>
      <c r="B49" s="34">
        <v>7</v>
      </c>
      <c r="C49" s="36">
        <v>1</v>
      </c>
      <c r="D49" s="34">
        <v>32</v>
      </c>
      <c r="E49" s="283" t="s">
        <v>227</v>
      </c>
      <c r="F49" s="283" t="s">
        <v>232</v>
      </c>
      <c r="G49" s="283" t="s">
        <v>1495</v>
      </c>
      <c r="H49" s="283" t="s">
        <v>1496</v>
      </c>
      <c r="I49" s="283" t="s">
        <v>1497</v>
      </c>
      <c r="J49" s="283" t="s">
        <v>136</v>
      </c>
      <c r="K49" s="33" t="s">
        <v>234</v>
      </c>
      <c r="L49" s="175"/>
      <c r="M49" s="953" t="str">
        <f t="shared" si="13"/>
        <v>ELS005</v>
      </c>
      <c r="N49" s="956" t="s">
        <v>478</v>
      </c>
      <c r="O49" s="955" t="s">
        <v>1565</v>
      </c>
      <c r="P49" s="900">
        <v>20529880.807103168</v>
      </c>
      <c r="Q49" s="1000">
        <v>236868.43</v>
      </c>
      <c r="R49" s="1001">
        <f>'Tariff Rand Values 2024-25 Actu'!V71</f>
        <v>21658957.576156069</v>
      </c>
      <c r="S49" s="1006">
        <f t="shared" si="14"/>
        <v>24344668.315599423</v>
      </c>
      <c r="T49" s="1003">
        <f t="shared" si="15"/>
        <v>26754790.478843763</v>
      </c>
      <c r="U49" s="1003">
        <f t="shared" si="16"/>
        <v>28678459.914272632</v>
      </c>
      <c r="V49" s="1003">
        <f t="shared" si="6"/>
        <v>29395421.412129447</v>
      </c>
      <c r="W49" s="340" t="str">
        <f t="shared" si="17"/>
        <v>Exchange Revenue:  Service Charges - Electricity:  Sales - Domestic High:  Home power Bulk ELS005</v>
      </c>
      <c r="X49" s="188"/>
      <c r="Y49" s="37"/>
    </row>
    <row r="50" spans="1:29" ht="16.5" customHeight="1" outlineLevel="3" x14ac:dyDescent="0.35">
      <c r="A50" s="174">
        <v>14</v>
      </c>
      <c r="B50" s="34">
        <v>7</v>
      </c>
      <c r="C50" s="36">
        <v>1</v>
      </c>
      <c r="D50" s="34">
        <v>32</v>
      </c>
      <c r="E50" s="283" t="s">
        <v>227</v>
      </c>
      <c r="F50" s="283" t="s">
        <v>231</v>
      </c>
      <c r="G50" s="283" t="s">
        <v>1495</v>
      </c>
      <c r="H50" s="283" t="s">
        <v>1496</v>
      </c>
      <c r="I50" s="283" t="s">
        <v>1497</v>
      </c>
      <c r="J50" s="283" t="s">
        <v>136</v>
      </c>
      <c r="K50" s="33" t="s">
        <v>234</v>
      </c>
      <c r="L50" s="175"/>
      <c r="M50" s="953" t="str">
        <f t="shared" si="13"/>
        <v>ELO005</v>
      </c>
      <c r="N50" s="956" t="s">
        <v>478</v>
      </c>
      <c r="O50" s="955" t="s">
        <v>1566</v>
      </c>
      <c r="P50" s="900">
        <v>17381389.118943997</v>
      </c>
      <c r="Q50" s="1000">
        <v>18919478.5</v>
      </c>
      <c r="R50" s="1001">
        <f>'Tariff Rand Values 2024-25 Actu'!V72</f>
        <v>18445443.62946609</v>
      </c>
      <c r="S50" s="1006">
        <f t="shared" si="14"/>
        <v>20732678.639519889</v>
      </c>
      <c r="T50" s="1003">
        <f t="shared" si="15"/>
        <v>22785213.824832357</v>
      </c>
      <c r="U50" s="1003">
        <f t="shared" si="16"/>
        <v>24423470.698837806</v>
      </c>
      <c r="V50" s="1003">
        <f t="shared" si="6"/>
        <v>25034057.46630875</v>
      </c>
      <c r="W50" s="340" t="str">
        <f t="shared" si="17"/>
        <v>Exchange Revenue:  Service Charges - Electricity:  Sales - Domestic High:  Home power Bulk ELO005</v>
      </c>
      <c r="X50" s="188"/>
      <c r="Y50" s="37"/>
    </row>
    <row r="51" spans="1:29" ht="16.5" customHeight="1" outlineLevel="3" x14ac:dyDescent="0.35">
      <c r="A51" s="174">
        <v>14</v>
      </c>
      <c r="B51" s="34">
        <v>7</v>
      </c>
      <c r="C51" s="36">
        <v>1</v>
      </c>
      <c r="D51" s="34">
        <v>32</v>
      </c>
      <c r="E51" s="283" t="s">
        <v>227</v>
      </c>
      <c r="F51" s="283" t="s">
        <v>483</v>
      </c>
      <c r="G51" s="283" t="s">
        <v>1495</v>
      </c>
      <c r="H51" s="283" t="s">
        <v>1496</v>
      </c>
      <c r="I51" s="283" t="s">
        <v>1497</v>
      </c>
      <c r="J51" s="283" t="s">
        <v>136</v>
      </c>
      <c r="K51" s="33" t="s">
        <v>234</v>
      </c>
      <c r="L51" s="175"/>
      <c r="M51" s="958" t="str">
        <f t="shared" si="13"/>
        <v>ELHP05</v>
      </c>
      <c r="N51" s="954" t="s">
        <v>478</v>
      </c>
      <c r="O51" s="964" t="s">
        <v>1508</v>
      </c>
      <c r="P51" s="900">
        <v>7546997.429710798</v>
      </c>
      <c r="Q51" s="1000">
        <v>8869295.6699999999</v>
      </c>
      <c r="R51" s="1001">
        <f>'Tariff Rand Values 2024-25 Actu'!W70</f>
        <v>9508478.0911531262</v>
      </c>
      <c r="S51" s="1006">
        <f t="shared" si="14"/>
        <v>10687529.374456115</v>
      </c>
      <c r="T51" s="1003">
        <f t="shared" si="15"/>
        <v>11745594.78252727</v>
      </c>
      <c r="U51" s="1003">
        <f t="shared" si="16"/>
        <v>12590103.047390981</v>
      </c>
      <c r="V51" s="1003">
        <f t="shared" si="6"/>
        <v>12904855.623575754</v>
      </c>
      <c r="W51" s="340" t="str">
        <f t="shared" si="17"/>
        <v>Exchange Revenue:  Service Charges - Electricity:  Sales - Domestic High:  Home power Bulk ELHP05</v>
      </c>
      <c r="X51" s="188"/>
      <c r="Y51" s="37"/>
    </row>
    <row r="52" spans="1:29" ht="16.5" customHeight="1" outlineLevel="3" x14ac:dyDescent="0.35">
      <c r="A52" s="174">
        <v>14</v>
      </c>
      <c r="B52" s="34">
        <v>7</v>
      </c>
      <c r="C52" s="36">
        <v>1</v>
      </c>
      <c r="D52" s="34">
        <v>32</v>
      </c>
      <c r="E52" s="283" t="s">
        <v>227</v>
      </c>
      <c r="F52" s="283" t="s">
        <v>285</v>
      </c>
      <c r="G52" s="283" t="s">
        <v>1495</v>
      </c>
      <c r="H52" s="283" t="s">
        <v>1496</v>
      </c>
      <c r="I52" s="283" t="s">
        <v>1497</v>
      </c>
      <c r="J52" s="283" t="s">
        <v>136</v>
      </c>
      <c r="K52" s="33" t="s">
        <v>234</v>
      </c>
      <c r="L52" s="175"/>
      <c r="M52" s="958" t="str">
        <f t="shared" si="13"/>
        <v>ELHS05</v>
      </c>
      <c r="N52" s="956" t="s">
        <v>478</v>
      </c>
      <c r="O52" s="964" t="s">
        <v>1567</v>
      </c>
      <c r="P52" s="900">
        <v>12941254.762858141</v>
      </c>
      <c r="Q52" s="1000">
        <v>15734361.029999999</v>
      </c>
      <c r="R52" s="1001">
        <f>'Tariff Rand Values 2024-25 Actu'!W71</f>
        <v>16161584.235018127</v>
      </c>
      <c r="S52" s="1006">
        <f t="shared" si="14"/>
        <v>18165620.680160377</v>
      </c>
      <c r="T52" s="1003">
        <f t="shared" si="15"/>
        <v>19964017.127496254</v>
      </c>
      <c r="U52" s="1003">
        <f t="shared" si="16"/>
        <v>21399429.958963234</v>
      </c>
      <c r="V52" s="1003">
        <f t="shared" si="6"/>
        <v>21934415.707937311</v>
      </c>
      <c r="W52" s="340" t="str">
        <f t="shared" si="17"/>
        <v>Exchange Revenue:  Service Charges - Electricity:  Sales - Domestic High:  Home power Bulk ELHS05</v>
      </c>
      <c r="X52" s="188"/>
      <c r="Y52" s="37"/>
    </row>
    <row r="53" spans="1:29" ht="16.5" customHeight="1" outlineLevel="3" x14ac:dyDescent="0.35">
      <c r="A53" s="174">
        <v>14</v>
      </c>
      <c r="B53" s="34">
        <v>7</v>
      </c>
      <c r="C53" s="36">
        <v>1</v>
      </c>
      <c r="D53" s="34">
        <v>32</v>
      </c>
      <c r="E53" s="283" t="s">
        <v>227</v>
      </c>
      <c r="F53" s="283" t="s">
        <v>234</v>
      </c>
      <c r="G53" s="283" t="s">
        <v>1495</v>
      </c>
      <c r="H53" s="283" t="s">
        <v>1496</v>
      </c>
      <c r="I53" s="283" t="s">
        <v>1497</v>
      </c>
      <c r="J53" s="283" t="s">
        <v>136</v>
      </c>
      <c r="K53" s="33" t="s">
        <v>234</v>
      </c>
      <c r="L53" s="175"/>
      <c r="M53" s="958" t="str">
        <f t="shared" si="13"/>
        <v>ELH005</v>
      </c>
      <c r="N53" s="956" t="s">
        <v>478</v>
      </c>
      <c r="O53" s="964" t="s">
        <v>1509</v>
      </c>
      <c r="P53" s="900">
        <v>10135764.174009744</v>
      </c>
      <c r="Q53" s="1000">
        <v>12070137.550000001</v>
      </c>
      <c r="R53" s="1001">
        <f>'Tariff Rand Values 2024-25 Actu'!W72</f>
        <v>11808165.107057078</v>
      </c>
      <c r="S53" s="1006">
        <f t="shared" si="14"/>
        <v>13272377.580332156</v>
      </c>
      <c r="T53" s="1003">
        <f t="shared" si="15"/>
        <v>14586342.960785039</v>
      </c>
      <c r="U53" s="1003">
        <f t="shared" si="16"/>
        <v>15635101.019665483</v>
      </c>
      <c r="V53" s="1003">
        <f t="shared" si="6"/>
        <v>16025978.54515712</v>
      </c>
      <c r="W53" s="340" t="str">
        <f t="shared" si="17"/>
        <v>Exchange Revenue:  Service Charges - Electricity:  Sales - Domestic High:  Home power Bulk ELH005</v>
      </c>
      <c r="X53" s="188"/>
      <c r="Y53" s="37"/>
    </row>
    <row r="54" spans="1:29" ht="16.5" customHeight="1" outlineLevel="3" x14ac:dyDescent="0.35">
      <c r="A54" s="912">
        <v>14</v>
      </c>
      <c r="B54" s="913">
        <v>7</v>
      </c>
      <c r="C54" s="914">
        <v>1</v>
      </c>
      <c r="D54" s="913">
        <v>32</v>
      </c>
      <c r="E54" s="915" t="s">
        <v>227</v>
      </c>
      <c r="F54" s="915" t="s">
        <v>1763</v>
      </c>
      <c r="G54" s="915" t="s">
        <v>1495</v>
      </c>
      <c r="H54" s="915" t="s">
        <v>1496</v>
      </c>
      <c r="I54" s="915" t="s">
        <v>1497</v>
      </c>
      <c r="J54" s="915" t="s">
        <v>136</v>
      </c>
      <c r="K54" s="916" t="s">
        <v>234</v>
      </c>
      <c r="L54" s="917"/>
      <c r="M54" s="918" t="str">
        <f t="shared" si="13"/>
        <v>ACC005</v>
      </c>
      <c r="N54" s="919" t="s">
        <v>478</v>
      </c>
      <c r="O54" s="920" t="s">
        <v>1568</v>
      </c>
      <c r="P54" s="921">
        <v>9132138.3536633477</v>
      </c>
      <c r="Q54" s="1007">
        <v>4935454.2699999996</v>
      </c>
      <c r="R54" s="1010">
        <f>'Tariff Rand Values 2024-25 Actu'!V68+'Tariff Rand Values 2024-25 Actu'!W68</f>
        <v>9215118.3599999994</v>
      </c>
      <c r="S54" s="1009">
        <f>'Tariff Rand Values 2025-26'!I68</f>
        <v>10776567.445887856</v>
      </c>
      <c r="T54" s="1010">
        <f>'Tariff Rand Values 2026-27'!I72</f>
        <v>10445773.67994017</v>
      </c>
      <c r="U54" s="1010">
        <f t="shared" si="16"/>
        <v>11196824.807527868</v>
      </c>
      <c r="V54" s="1003">
        <f t="shared" si="6"/>
        <v>11476745.427716063</v>
      </c>
      <c r="W54" s="891" t="str">
        <f t="shared" si="17"/>
        <v>Exchange Revenue:  Service Charges - Electricity:  Sales - Domestic High:  Home power Bulk ACC005</v>
      </c>
      <c r="X54" s="892"/>
      <c r="Y54" s="893"/>
    </row>
    <row r="55" spans="1:29" ht="16.5" customHeight="1" outlineLevel="3" x14ac:dyDescent="0.35">
      <c r="A55" s="174">
        <v>14</v>
      </c>
      <c r="B55" s="34">
        <v>7</v>
      </c>
      <c r="C55" s="36">
        <v>1</v>
      </c>
      <c r="D55" s="34">
        <v>32</v>
      </c>
      <c r="E55" s="283" t="s">
        <v>227</v>
      </c>
      <c r="F55" s="283" t="s">
        <v>1766</v>
      </c>
      <c r="G55" s="283" t="s">
        <v>1495</v>
      </c>
      <c r="H55" s="283" t="s">
        <v>1496</v>
      </c>
      <c r="I55" s="283" t="s">
        <v>1497</v>
      </c>
      <c r="J55" s="283" t="s">
        <v>136</v>
      </c>
      <c r="K55" s="33" t="s">
        <v>234</v>
      </c>
      <c r="L55" s="175"/>
      <c r="M55" s="939" t="str">
        <f t="shared" si="13"/>
        <v>ELK005</v>
      </c>
      <c r="N55" s="940" t="s">
        <v>478</v>
      </c>
      <c r="O55" s="941" t="s">
        <v>1511</v>
      </c>
      <c r="P55" s="942">
        <v>2664208.4095392735</v>
      </c>
      <c r="Q55" s="1012">
        <v>8905237.8300000001</v>
      </c>
      <c r="R55" s="1014">
        <f>'Tariff Rand Values 2024-25 Actu'!V69+'Tariff Rand Values 2024-25 Actu'!W69</f>
        <v>3046424.5661131702</v>
      </c>
      <c r="S55" s="1013">
        <f t="shared" si="14"/>
        <v>3424181.2123112036</v>
      </c>
      <c r="T55" s="1014">
        <f t="shared" si="15"/>
        <v>3763175.1523300125</v>
      </c>
      <c r="U55" s="1014">
        <f t="shared" si="16"/>
        <v>4033747.4457825408</v>
      </c>
      <c r="V55" s="1003">
        <f t="shared" si="6"/>
        <v>4134591.1319271042</v>
      </c>
      <c r="W55" s="340" t="str">
        <f t="shared" si="17"/>
        <v>Exchange Revenue:  Service Charges - Electricity:  Sales - Domestic High:  Home power Bulk ELK005</v>
      </c>
      <c r="X55" s="188"/>
      <c r="Y55" s="37"/>
    </row>
    <row r="56" spans="1:29" s="39" customFormat="1" ht="16.5" customHeight="1" outlineLevel="3" x14ac:dyDescent="0.35">
      <c r="A56" s="174"/>
      <c r="B56" s="34"/>
      <c r="C56" s="36"/>
      <c r="D56" s="34"/>
      <c r="E56" s="283"/>
      <c r="F56" s="283"/>
      <c r="G56" s="283"/>
      <c r="H56" s="283"/>
      <c r="I56" s="283"/>
      <c r="J56" s="283"/>
      <c r="K56" s="33"/>
      <c r="L56" s="173"/>
      <c r="M56" s="839"/>
      <c r="N56" s="314"/>
      <c r="O56" s="902" t="s">
        <v>1538</v>
      </c>
      <c r="P56" s="895"/>
      <c r="Q56" s="1116"/>
      <c r="R56" s="1004"/>
      <c r="S56" s="1005"/>
      <c r="T56" s="999"/>
      <c r="U56" s="999"/>
      <c r="V56" s="999"/>
      <c r="W56" s="335"/>
      <c r="X56" s="241"/>
      <c r="Z56"/>
      <c r="AA56" s="1061">
        <f>SUM(S58:S59)</f>
        <v>39291742.496408872</v>
      </c>
      <c r="AB56" s="39">
        <f>'Tariff Rand Values 2025-26'!I28</f>
        <v>39291742.49640888</v>
      </c>
      <c r="AC56" s="981">
        <f>AA56-AB56</f>
        <v>0</v>
      </c>
    </row>
    <row r="57" spans="1:29" ht="16.5" customHeight="1" outlineLevel="3" x14ac:dyDescent="0.35">
      <c r="A57" s="912"/>
      <c r="B57" s="913"/>
      <c r="C57" s="914"/>
      <c r="D57" s="913"/>
      <c r="E57" s="915"/>
      <c r="F57" s="915"/>
      <c r="G57" s="915"/>
      <c r="H57" s="915"/>
      <c r="I57" s="915"/>
      <c r="J57" s="915"/>
      <c r="K57" s="916"/>
      <c r="L57" s="917"/>
      <c r="M57" s="918"/>
      <c r="N57" s="919"/>
      <c r="O57" s="920" t="s">
        <v>1958</v>
      </c>
      <c r="P57" s="921"/>
      <c r="Q57" s="1007"/>
      <c r="R57" s="1008"/>
      <c r="S57" s="1009"/>
      <c r="T57" s="1134">
        <f>'Tariff Rand Values 2026-27'!I32</f>
        <v>273600</v>
      </c>
      <c r="U57" s="1134">
        <f>T57*(1+$U$2)</f>
        <v>293271.84000000003</v>
      </c>
      <c r="V57" s="1134">
        <f>U57*(1+$V$2)</f>
        <v>300603.636</v>
      </c>
      <c r="W57" s="891"/>
      <c r="X57" s="892"/>
      <c r="Y57" s="893"/>
    </row>
    <row r="58" spans="1:29" ht="16.5" customHeight="1" outlineLevel="3" x14ac:dyDescent="0.35">
      <c r="A58" s="174">
        <v>14</v>
      </c>
      <c r="B58" s="34">
        <v>7</v>
      </c>
      <c r="C58" s="36">
        <v>1</v>
      </c>
      <c r="D58" s="34">
        <v>32</v>
      </c>
      <c r="E58" s="283" t="s">
        <v>219</v>
      </c>
      <c r="F58" s="283" t="s">
        <v>155</v>
      </c>
      <c r="G58" s="283" t="s">
        <v>1495</v>
      </c>
      <c r="H58" s="283" t="s">
        <v>1496</v>
      </c>
      <c r="I58" s="283" t="s">
        <v>1497</v>
      </c>
      <c r="J58" s="283" t="s">
        <v>136</v>
      </c>
      <c r="K58" s="33" t="s">
        <v>234</v>
      </c>
      <c r="L58" s="175"/>
      <c r="M58" s="953" t="str">
        <f>RIGHT(O58,6)</f>
        <v>ELSM05</v>
      </c>
      <c r="N58" s="954" t="s">
        <v>478</v>
      </c>
      <c r="O58" s="955" t="s">
        <v>1569</v>
      </c>
      <c r="P58" s="900">
        <v>19145563.039723329</v>
      </c>
      <c r="Q58" s="1000">
        <v>35754296.969999999</v>
      </c>
      <c r="R58" s="1001">
        <f>'Tariff Rand Values 2024-25 Actu'!V30</f>
        <v>23826381.546921626</v>
      </c>
      <c r="S58" s="1006">
        <f>'Tariff Rand Values 2025-26'!V30</f>
        <v>25339661.411619905</v>
      </c>
      <c r="T58" s="1006">
        <f>'Tariff Rand Values 2026-27'!V33</f>
        <v>27848287.891370278</v>
      </c>
      <c r="U58" s="1003">
        <f>T58*(1+$U$2)</f>
        <v>29850579.790759802</v>
      </c>
      <c r="V58" s="1003">
        <f t="shared" ref="V58:V59" si="18">U58*(1+$V$2)</f>
        <v>30596844.285528794</v>
      </c>
      <c r="W58" s="336" t="str">
        <f>CONCATENATE($W$11,N58,M58)</f>
        <v>Exchange Revenue:  Service Charges - Electricity:  Sales - Commercial Conventional (Single Phase) ELSM05</v>
      </c>
      <c r="X58" s="186"/>
      <c r="Y58" s="37"/>
    </row>
    <row r="59" spans="1:29" ht="16.5" customHeight="1" outlineLevel="3" x14ac:dyDescent="0.35">
      <c r="A59" s="174">
        <v>14</v>
      </c>
      <c r="B59" s="34">
        <v>7</v>
      </c>
      <c r="C59" s="36">
        <v>1</v>
      </c>
      <c r="D59" s="34">
        <v>32</v>
      </c>
      <c r="E59" s="283" t="s">
        <v>219</v>
      </c>
      <c r="F59" s="283" t="s">
        <v>144</v>
      </c>
      <c r="G59" s="283" t="s">
        <v>1495</v>
      </c>
      <c r="H59" s="283" t="s">
        <v>1496</v>
      </c>
      <c r="I59" s="283" t="s">
        <v>1497</v>
      </c>
      <c r="J59" s="283" t="s">
        <v>136</v>
      </c>
      <c r="K59" s="33" t="s">
        <v>234</v>
      </c>
      <c r="L59" s="175"/>
      <c r="M59" s="953" t="str">
        <f>RIGHT(O59,6)</f>
        <v>EL0005</v>
      </c>
      <c r="N59" s="954" t="s">
        <v>478</v>
      </c>
      <c r="O59" s="955" t="s">
        <v>1570</v>
      </c>
      <c r="P59" s="900">
        <v>8586051.8642712366</v>
      </c>
      <c r="Q59" s="1000">
        <v>13716883.310000001</v>
      </c>
      <c r="R59" s="1001">
        <f>'Tariff Rand Values 2024-25 Actu'!W30</f>
        <v>17474082.042694807</v>
      </c>
      <c r="S59" s="1006">
        <f>'Tariff Rand Values 2025-26'!W30</f>
        <v>13952081.084788965</v>
      </c>
      <c r="T59" s="1003">
        <f>'Tariff Rand Values 2026-27'!W33</f>
        <v>15333337.112183072</v>
      </c>
      <c r="U59" s="1003">
        <f>T59*(1+$U$2)</f>
        <v>16435804.050549036</v>
      </c>
      <c r="V59" s="1003">
        <f t="shared" si="18"/>
        <v>16846699.151812762</v>
      </c>
      <c r="W59" s="336" t="str">
        <f>CONCATENATE($W$11,N59,M59)</f>
        <v>Exchange Revenue:  Service Charges - Electricity:  Sales - Commercial Conventional (Single Phase) EL0005</v>
      </c>
      <c r="X59" s="186" t="s">
        <v>238</v>
      </c>
      <c r="Y59" s="37"/>
    </row>
    <row r="60" spans="1:29" s="39" customFormat="1" ht="16.5" customHeight="1" outlineLevel="3" x14ac:dyDescent="0.35">
      <c r="A60" s="174"/>
      <c r="B60" s="34"/>
      <c r="C60" s="36"/>
      <c r="D60" s="34"/>
      <c r="E60" s="283"/>
      <c r="F60" s="283"/>
      <c r="G60" s="283"/>
      <c r="H60" s="283"/>
      <c r="I60" s="283"/>
      <c r="J60" s="283"/>
      <c r="K60" s="33"/>
      <c r="L60" s="173"/>
      <c r="M60" s="839"/>
      <c r="N60" s="314"/>
      <c r="O60" s="902" t="s">
        <v>1539</v>
      </c>
      <c r="P60" s="895"/>
      <c r="Q60" s="1116"/>
      <c r="R60" s="1004"/>
      <c r="S60" s="1005"/>
      <c r="T60" s="999"/>
      <c r="U60" s="999"/>
      <c r="V60" s="999"/>
      <c r="W60" s="335"/>
      <c r="X60" s="241"/>
      <c r="Z60"/>
      <c r="AA60" s="1061">
        <f>SUM(S62:S63)</f>
        <v>170827135.4728153</v>
      </c>
      <c r="AB60" s="39">
        <f>'Tariff Rand Values 2025-26'!I26</f>
        <v>170827135.47281528</v>
      </c>
      <c r="AC60" s="981">
        <f>AA60-AB60</f>
        <v>0</v>
      </c>
    </row>
    <row r="61" spans="1:29" ht="16.5" customHeight="1" outlineLevel="3" x14ac:dyDescent="0.35">
      <c r="A61" s="912"/>
      <c r="B61" s="913"/>
      <c r="C61" s="914"/>
      <c r="D61" s="913"/>
      <c r="E61" s="915"/>
      <c r="F61" s="915"/>
      <c r="G61" s="915"/>
      <c r="H61" s="915"/>
      <c r="I61" s="915"/>
      <c r="J61" s="915"/>
      <c r="K61" s="916"/>
      <c r="L61" s="917"/>
      <c r="M61" s="918"/>
      <c r="N61" s="919"/>
      <c r="O61" s="920" t="s">
        <v>1958</v>
      </c>
      <c r="P61" s="921"/>
      <c r="Q61" s="1007"/>
      <c r="R61" s="1008"/>
      <c r="S61" s="1009"/>
      <c r="T61" s="1134">
        <f>'Tariff Rand Values 2026-27'!I29</f>
        <v>4452000</v>
      </c>
      <c r="U61" s="1134">
        <f>T61*(1+$U$2)</f>
        <v>4772098.8000000007</v>
      </c>
      <c r="V61" s="1134">
        <f>U61*(1+$V$2)</f>
        <v>4891401.2700000005</v>
      </c>
      <c r="W61" s="891"/>
      <c r="X61" s="892"/>
      <c r="Y61" s="893"/>
    </row>
    <row r="62" spans="1:29" ht="16.5" customHeight="1" outlineLevel="3" x14ac:dyDescent="0.35">
      <c r="A62" s="174">
        <v>14</v>
      </c>
      <c r="B62" s="34">
        <v>7</v>
      </c>
      <c r="C62" s="36">
        <v>1</v>
      </c>
      <c r="D62" s="34">
        <v>32</v>
      </c>
      <c r="E62" s="283" t="s">
        <v>221</v>
      </c>
      <c r="F62" s="283" t="s">
        <v>155</v>
      </c>
      <c r="G62" s="283" t="s">
        <v>1495</v>
      </c>
      <c r="H62" s="283" t="s">
        <v>1496</v>
      </c>
      <c r="I62" s="283" t="s">
        <v>1497</v>
      </c>
      <c r="J62" s="283" t="s">
        <v>136</v>
      </c>
      <c r="K62" s="33" t="s">
        <v>234</v>
      </c>
      <c r="L62" s="175"/>
      <c r="M62" s="953" t="s">
        <v>1518</v>
      </c>
      <c r="N62" s="954" t="s">
        <v>478</v>
      </c>
      <c r="O62" s="955" t="s">
        <v>1616</v>
      </c>
      <c r="P62" s="900">
        <v>61321652.146573693</v>
      </c>
      <c r="Q62" s="1000">
        <v>102575261.97</v>
      </c>
      <c r="R62" s="1001">
        <f>'Tariff Rand Values 2024-25 Actu'!V28</f>
        <v>111758547.51919155</v>
      </c>
      <c r="S62" s="1006">
        <f>R62*(1+$S$2)</f>
        <v>125616607.41157131</v>
      </c>
      <c r="T62" s="1003">
        <f>S62*(1+$T$2)</f>
        <v>138052651.54531687</v>
      </c>
      <c r="U62" s="1003">
        <f>T62*(1+$U$2)</f>
        <v>147978637.19142517</v>
      </c>
      <c r="V62" s="1003">
        <f t="shared" ref="V62:V63" si="19">U62*(1+$V$2)</f>
        <v>151678103.12121078</v>
      </c>
      <c r="W62" s="336" t="str">
        <f>CONCATENATE($W$74,N62,M62)</f>
        <v>Exchange Revenue:  Service Charges - Electricity:  Sales - Commercial Conventional (3-Phase) PP</v>
      </c>
      <c r="X62" s="186"/>
      <c r="Y62" s="37"/>
    </row>
    <row r="63" spans="1:29" ht="16.5" customHeight="1" outlineLevel="3" x14ac:dyDescent="0.35">
      <c r="A63" s="174">
        <v>14</v>
      </c>
      <c r="B63" s="34">
        <v>7</v>
      </c>
      <c r="C63" s="36">
        <v>1</v>
      </c>
      <c r="D63" s="34">
        <v>32</v>
      </c>
      <c r="E63" s="283" t="s">
        <v>221</v>
      </c>
      <c r="F63" s="283" t="s">
        <v>144</v>
      </c>
      <c r="G63" s="283" t="s">
        <v>1495</v>
      </c>
      <c r="H63" s="283" t="s">
        <v>1496</v>
      </c>
      <c r="I63" s="283" t="s">
        <v>1497</v>
      </c>
      <c r="J63" s="283" t="s">
        <v>136</v>
      </c>
      <c r="K63" s="33" t="s">
        <v>234</v>
      </c>
      <c r="L63" s="175"/>
      <c r="M63" s="953" t="s">
        <v>1518</v>
      </c>
      <c r="N63" s="954" t="s">
        <v>478</v>
      </c>
      <c r="O63" s="955" t="s">
        <v>1617</v>
      </c>
      <c r="P63" s="900">
        <v>21726832.481070731</v>
      </c>
      <c r="Q63" s="1000">
        <v>40942146.75</v>
      </c>
      <c r="R63" s="1001">
        <f>'Tariff Rand Values 2024-25 Actu'!W28</f>
        <v>40222889.734202847</v>
      </c>
      <c r="S63" s="1006">
        <f>R63*(1+$S$2)</f>
        <v>45210528.061244003</v>
      </c>
      <c r="T63" s="1003">
        <f>S63*(1+$T$2)</f>
        <v>49686370.339307159</v>
      </c>
      <c r="U63" s="1003">
        <f>T63*(1+$U$2)</f>
        <v>53258820.366703346</v>
      </c>
      <c r="V63" s="1003">
        <f t="shared" si="19"/>
        <v>54590290.875870928</v>
      </c>
      <c r="W63" s="336" t="str">
        <f>CONCATENATE($W$74,N63,M63)</f>
        <v>Exchange Revenue:  Service Charges - Electricity:  Sales - Commercial Conventional (3-Phase) PP</v>
      </c>
      <c r="X63" s="186"/>
      <c r="Y63" s="37"/>
    </row>
    <row r="64" spans="1:29" s="39" customFormat="1" ht="16.5" customHeight="1" outlineLevel="3" x14ac:dyDescent="0.35">
      <c r="A64" s="174"/>
      <c r="B64" s="34"/>
      <c r="C64" s="36"/>
      <c r="D64" s="34"/>
      <c r="E64" s="283"/>
      <c r="F64" s="283"/>
      <c r="G64" s="283"/>
      <c r="H64" s="283"/>
      <c r="I64" s="283"/>
      <c r="J64" s="283"/>
      <c r="K64" s="33"/>
      <c r="L64" s="173"/>
      <c r="M64" s="839"/>
      <c r="N64" s="314"/>
      <c r="O64" s="902" t="s">
        <v>1540</v>
      </c>
      <c r="P64" s="895"/>
      <c r="Q64" s="1116"/>
      <c r="R64" s="1004"/>
      <c r="S64" s="1005"/>
      <c r="T64" s="999"/>
      <c r="U64" s="999"/>
      <c r="V64" s="999"/>
      <c r="W64" s="335"/>
      <c r="X64" s="241"/>
      <c r="Z64"/>
    </row>
    <row r="65" spans="1:29" ht="16.5" customHeight="1" outlineLevel="3" x14ac:dyDescent="0.35">
      <c r="A65" s="947">
        <v>14</v>
      </c>
      <c r="B65" s="948">
        <v>7</v>
      </c>
      <c r="C65" s="949">
        <v>1</v>
      </c>
      <c r="D65" s="948">
        <v>32</v>
      </c>
      <c r="E65" s="950" t="s">
        <v>219</v>
      </c>
      <c r="F65" s="950" t="s">
        <v>148</v>
      </c>
      <c r="G65" s="950" t="s">
        <v>1495</v>
      </c>
      <c r="H65" s="950" t="s">
        <v>1496</v>
      </c>
      <c r="I65" s="950" t="s">
        <v>1497</v>
      </c>
      <c r="J65" s="950" t="s">
        <v>136</v>
      </c>
      <c r="K65" s="951" t="s">
        <v>234</v>
      </c>
      <c r="L65" s="952"/>
      <c r="M65" s="953" t="str">
        <f t="shared" ref="M65:M71" si="20">RIGHT(O65,6)</f>
        <v>E1CLDP</v>
      </c>
      <c r="N65" s="954" t="s">
        <v>478</v>
      </c>
      <c r="O65" s="955" t="s">
        <v>1571</v>
      </c>
      <c r="P65" s="900">
        <v>54453.189664247897</v>
      </c>
      <c r="Q65" s="1000">
        <v>312097.90999999997</v>
      </c>
      <c r="R65" s="1001">
        <f>'Tariff Rand Values 2024-25 Actu'!V32</f>
        <v>223442.73930157276</v>
      </c>
      <c r="S65" s="1006">
        <f t="shared" ref="S65:S70" si="21">R65*(1+$S$2)</f>
        <v>251149.63897496779</v>
      </c>
      <c r="T65" s="1003">
        <f t="shared" ref="T65:T70" si="22">S65*(1+$T$2)</f>
        <v>276013.45323348959</v>
      </c>
      <c r="U65" s="1003">
        <f t="shared" ref="U65:U71" si="23">T65*(1+$U$2)</f>
        <v>295858.82052097749</v>
      </c>
      <c r="V65" s="1003">
        <f t="shared" ref="V65:V71" si="24">U65*(1+$V$2)</f>
        <v>303255.29103400192</v>
      </c>
      <c r="W65" s="336" t="str">
        <f t="shared" ref="W65:W71" si="25">CONCATENATE($W$11,N65,M65)</f>
        <v>Exchange Revenue:  Service Charges - Electricity:  Sales - Commercial Conventional (Single Phase) E1CLDP</v>
      </c>
      <c r="X65" s="186"/>
      <c r="Y65" s="37"/>
      <c r="AA65" s="1061">
        <f>SUM(S65:S71)</f>
        <v>1790366.5001929333</v>
      </c>
      <c r="AB65">
        <f>'Tariff Rand Values 2025-26'!I30</f>
        <v>1790366.5001929335</v>
      </c>
      <c r="AC65" s="981">
        <f>AA65-AB65</f>
        <v>0</v>
      </c>
    </row>
    <row r="66" spans="1:29" ht="16.5" customHeight="1" outlineLevel="3" x14ac:dyDescent="0.35">
      <c r="A66" s="947">
        <v>14</v>
      </c>
      <c r="B66" s="948">
        <v>7</v>
      </c>
      <c r="C66" s="949">
        <v>1</v>
      </c>
      <c r="D66" s="948">
        <v>32</v>
      </c>
      <c r="E66" s="950" t="s">
        <v>219</v>
      </c>
      <c r="F66" s="950" t="s">
        <v>149</v>
      </c>
      <c r="G66" s="950" t="s">
        <v>1495</v>
      </c>
      <c r="H66" s="950" t="s">
        <v>1496</v>
      </c>
      <c r="I66" s="950" t="s">
        <v>1497</v>
      </c>
      <c r="J66" s="950" t="s">
        <v>136</v>
      </c>
      <c r="K66" s="951" t="s">
        <v>234</v>
      </c>
      <c r="L66" s="952"/>
      <c r="M66" s="953" t="str">
        <f t="shared" si="20"/>
        <v>E1CLDS</v>
      </c>
      <c r="N66" s="954" t="s">
        <v>478</v>
      </c>
      <c r="O66" s="955" t="s">
        <v>1572</v>
      </c>
      <c r="P66" s="900">
        <v>77289.767137408999</v>
      </c>
      <c r="Q66" s="1000">
        <v>428536.95</v>
      </c>
      <c r="R66" s="1001">
        <f>'Tariff Rand Values 2024-25 Actu'!V33</f>
        <v>304617.01075115101</v>
      </c>
      <c r="S66" s="1006">
        <f t="shared" si="21"/>
        <v>342389.52008429379</v>
      </c>
      <c r="T66" s="1003">
        <f t="shared" si="22"/>
        <v>376286.08257263887</v>
      </c>
      <c r="U66" s="1003">
        <f t="shared" si="23"/>
        <v>403341.05190961162</v>
      </c>
      <c r="V66" s="1003">
        <f t="shared" si="24"/>
        <v>413424.57820735185</v>
      </c>
      <c r="W66" s="336" t="str">
        <f t="shared" si="25"/>
        <v>Exchange Revenue:  Service Charges - Electricity:  Sales - Commercial Conventional (Single Phase) E1CLDS</v>
      </c>
      <c r="X66" s="186"/>
      <c r="Y66" s="37"/>
    </row>
    <row r="67" spans="1:29" ht="16.5" customHeight="1" outlineLevel="3" x14ac:dyDescent="0.35">
      <c r="A67" s="947">
        <v>14</v>
      </c>
      <c r="B67" s="948">
        <v>7</v>
      </c>
      <c r="C67" s="949">
        <v>1</v>
      </c>
      <c r="D67" s="948">
        <v>32</v>
      </c>
      <c r="E67" s="950" t="s">
        <v>219</v>
      </c>
      <c r="F67" s="950" t="s">
        <v>150</v>
      </c>
      <c r="G67" s="950" t="s">
        <v>1495</v>
      </c>
      <c r="H67" s="950" t="s">
        <v>1496</v>
      </c>
      <c r="I67" s="950" t="s">
        <v>1497</v>
      </c>
      <c r="J67" s="950" t="s">
        <v>136</v>
      </c>
      <c r="K67" s="951" t="s">
        <v>234</v>
      </c>
      <c r="L67" s="952"/>
      <c r="M67" s="953" t="str">
        <f t="shared" si="20"/>
        <v>E1CLDO</v>
      </c>
      <c r="N67" s="954" t="s">
        <v>478</v>
      </c>
      <c r="O67" s="955" t="s">
        <v>1573</v>
      </c>
      <c r="P67" s="900">
        <v>69481.882012225076</v>
      </c>
      <c r="Q67" s="1000">
        <v>435178.01</v>
      </c>
      <c r="R67" s="1001">
        <f>'Tariff Rand Values 2024-25 Actu'!V34</f>
        <v>313953.33827113063</v>
      </c>
      <c r="S67" s="1006">
        <f t="shared" si="21"/>
        <v>352883.55221675086</v>
      </c>
      <c r="T67" s="1003">
        <f t="shared" si="22"/>
        <v>387819.02388620918</v>
      </c>
      <c r="U67" s="1003">
        <f t="shared" si="23"/>
        <v>415703.21170362766</v>
      </c>
      <c r="V67" s="1003">
        <f t="shared" si="24"/>
        <v>426095.79199621832</v>
      </c>
      <c r="W67" s="336" t="str">
        <f t="shared" si="25"/>
        <v>Exchange Revenue:  Service Charges - Electricity:  Sales - Commercial Conventional (Single Phase) E1CLDO</v>
      </c>
      <c r="X67" s="186"/>
      <c r="Y67" s="37"/>
    </row>
    <row r="68" spans="1:29" ht="16.5" customHeight="1" outlineLevel="3" x14ac:dyDescent="0.35">
      <c r="A68" s="947">
        <v>14</v>
      </c>
      <c r="B68" s="948">
        <v>7</v>
      </c>
      <c r="C68" s="949">
        <v>1</v>
      </c>
      <c r="D68" s="948">
        <v>32</v>
      </c>
      <c r="E68" s="950" t="s">
        <v>219</v>
      </c>
      <c r="F68" s="950" t="s">
        <v>145</v>
      </c>
      <c r="G68" s="950" t="s">
        <v>1495</v>
      </c>
      <c r="H68" s="950" t="s">
        <v>1496</v>
      </c>
      <c r="I68" s="950" t="s">
        <v>1497</v>
      </c>
      <c r="J68" s="950" t="s">
        <v>136</v>
      </c>
      <c r="K68" s="951" t="s">
        <v>234</v>
      </c>
      <c r="L68" s="952"/>
      <c r="M68" s="953" t="str">
        <f t="shared" si="20"/>
        <v>E1CHDP</v>
      </c>
      <c r="N68" s="954" t="s">
        <v>478</v>
      </c>
      <c r="O68" s="955" t="s">
        <v>1574</v>
      </c>
      <c r="P68" s="900">
        <v>19284.720669049282</v>
      </c>
      <c r="Q68" s="1000">
        <v>156835.93</v>
      </c>
      <c r="R68" s="1001">
        <f>'Tariff Rand Values 2024-25 Actu'!W32</f>
        <v>163707.44901116239</v>
      </c>
      <c r="S68" s="1006">
        <f t="shared" si="21"/>
        <v>184007.17268854653</v>
      </c>
      <c r="T68" s="1003">
        <f t="shared" si="22"/>
        <v>202223.88278471262</v>
      </c>
      <c r="U68" s="1003">
        <f t="shared" si="23"/>
        <v>216763.77995693349</v>
      </c>
      <c r="V68" s="1003">
        <f t="shared" si="24"/>
        <v>222182.8744558568</v>
      </c>
      <c r="W68" s="336" t="str">
        <f t="shared" si="25"/>
        <v>Exchange Revenue:  Service Charges - Electricity:  Sales - Commercial Conventional (Single Phase) E1CHDP</v>
      </c>
      <c r="X68" s="186"/>
      <c r="Y68" s="37"/>
    </row>
    <row r="69" spans="1:29" ht="16.5" customHeight="1" outlineLevel="3" x14ac:dyDescent="0.35">
      <c r="A69" s="947">
        <v>14</v>
      </c>
      <c r="B69" s="948">
        <v>7</v>
      </c>
      <c r="C69" s="949">
        <v>1</v>
      </c>
      <c r="D69" s="948">
        <v>32</v>
      </c>
      <c r="E69" s="950" t="s">
        <v>219</v>
      </c>
      <c r="F69" s="950" t="s">
        <v>146</v>
      </c>
      <c r="G69" s="950" t="s">
        <v>1495</v>
      </c>
      <c r="H69" s="950" t="s">
        <v>1496</v>
      </c>
      <c r="I69" s="950" t="s">
        <v>1497</v>
      </c>
      <c r="J69" s="950" t="s">
        <v>136</v>
      </c>
      <c r="K69" s="951" t="s">
        <v>234</v>
      </c>
      <c r="L69" s="952"/>
      <c r="M69" s="953" t="str">
        <f t="shared" si="20"/>
        <v>E1CHDS</v>
      </c>
      <c r="N69" s="954" t="s">
        <v>478</v>
      </c>
      <c r="O69" s="955" t="s">
        <v>1575</v>
      </c>
      <c r="P69" s="900">
        <v>28452.239365989524</v>
      </c>
      <c r="Q69" s="1000">
        <v>227772.01</v>
      </c>
      <c r="R69" s="1001">
        <f>'Tariff Rand Values 2024-25 Actu'!W33</f>
        <v>218388.89953139238</v>
      </c>
      <c r="S69" s="1006">
        <f t="shared" si="21"/>
        <v>245469.12307328507</v>
      </c>
      <c r="T69" s="1003">
        <f t="shared" si="22"/>
        <v>269770.56625754031</v>
      </c>
      <c r="U69" s="1003">
        <f t="shared" si="23"/>
        <v>289167.06997145747</v>
      </c>
      <c r="V69" s="1003">
        <f t="shared" si="24"/>
        <v>296396.24672074389</v>
      </c>
      <c r="W69" s="336" t="str">
        <f t="shared" si="25"/>
        <v>Exchange Revenue:  Service Charges - Electricity:  Sales - Commercial Conventional (Single Phase) E1CHDS</v>
      </c>
      <c r="X69" s="186" t="s">
        <v>237</v>
      </c>
      <c r="Y69" s="37"/>
    </row>
    <row r="70" spans="1:29" ht="16.5" customHeight="1" outlineLevel="3" x14ac:dyDescent="0.35">
      <c r="A70" s="947">
        <v>14</v>
      </c>
      <c r="B70" s="948">
        <v>7</v>
      </c>
      <c r="C70" s="949">
        <v>1</v>
      </c>
      <c r="D70" s="948">
        <v>32</v>
      </c>
      <c r="E70" s="950" t="s">
        <v>219</v>
      </c>
      <c r="F70" s="950" t="s">
        <v>147</v>
      </c>
      <c r="G70" s="950" t="s">
        <v>1495</v>
      </c>
      <c r="H70" s="950" t="s">
        <v>1496</v>
      </c>
      <c r="I70" s="950" t="s">
        <v>1497</v>
      </c>
      <c r="J70" s="950" t="s">
        <v>136</v>
      </c>
      <c r="K70" s="951" t="s">
        <v>234</v>
      </c>
      <c r="L70" s="952"/>
      <c r="M70" s="953" t="str">
        <f t="shared" si="20"/>
        <v>E1CHDO</v>
      </c>
      <c r="N70" s="954" t="s">
        <v>478</v>
      </c>
      <c r="O70" s="955" t="s">
        <v>1576</v>
      </c>
      <c r="P70" s="900">
        <v>28044.303633969022</v>
      </c>
      <c r="Q70" s="1000">
        <v>161791.63</v>
      </c>
      <c r="R70" s="1001">
        <f>'Tariff Rand Values 2024-25 Actu'!W34</f>
        <v>152836.52278497641</v>
      </c>
      <c r="S70" s="1006">
        <f t="shared" si="21"/>
        <v>171788.25161031348</v>
      </c>
      <c r="T70" s="1003">
        <f t="shared" si="22"/>
        <v>188795.28851973452</v>
      </c>
      <c r="U70" s="1003">
        <f t="shared" si="23"/>
        <v>202369.66976430346</v>
      </c>
      <c r="V70" s="1003">
        <f t="shared" si="24"/>
        <v>207428.91150841102</v>
      </c>
      <c r="W70" s="336" t="str">
        <f t="shared" si="25"/>
        <v>Exchange Revenue:  Service Charges - Electricity:  Sales - Commercial Conventional (Single Phase) E1CHDO</v>
      </c>
      <c r="X70" s="186"/>
      <c r="Y70" s="37"/>
    </row>
    <row r="71" spans="1:29" ht="16.5" customHeight="1" outlineLevel="3" x14ac:dyDescent="0.35">
      <c r="A71" s="912">
        <v>14</v>
      </c>
      <c r="B71" s="913">
        <v>7</v>
      </c>
      <c r="C71" s="914">
        <v>1</v>
      </c>
      <c r="D71" s="913">
        <v>32</v>
      </c>
      <c r="E71" s="915" t="s">
        <v>219</v>
      </c>
      <c r="F71" s="915" t="s">
        <v>151</v>
      </c>
      <c r="G71" s="915" t="s">
        <v>1495</v>
      </c>
      <c r="H71" s="915" t="s">
        <v>1496</v>
      </c>
      <c r="I71" s="915" t="s">
        <v>1497</v>
      </c>
      <c r="J71" s="915" t="s">
        <v>136</v>
      </c>
      <c r="K71" s="916" t="s">
        <v>234</v>
      </c>
      <c r="L71" s="917"/>
      <c r="M71" s="918" t="str">
        <f t="shared" si="20"/>
        <v>ELCEBC</v>
      </c>
      <c r="N71" s="919" t="s">
        <v>478</v>
      </c>
      <c r="O71" s="920" t="s">
        <v>1577</v>
      </c>
      <c r="P71" s="921">
        <v>35613.322739820003</v>
      </c>
      <c r="Q71" s="1007">
        <v>195756.67</v>
      </c>
      <c r="R71" s="1008">
        <f>'Tariff Rand Values 2024-25 Actu'!V31+'Tariff Rand Values 2024-25 Actu'!W31</f>
        <v>215917.56</v>
      </c>
      <c r="S71" s="1009">
        <f>'Tariff Rand Values 2025-26'!I31</f>
        <v>242679.24154477578</v>
      </c>
      <c r="T71" s="1010">
        <f>'Tariff Rand Values 2026-27'!I35</f>
        <v>262839.20404527796</v>
      </c>
      <c r="U71" s="1010">
        <f t="shared" si="23"/>
        <v>281737.34281613346</v>
      </c>
      <c r="V71" s="1003">
        <f t="shared" si="24"/>
        <v>288780.77638653677</v>
      </c>
      <c r="W71" s="891" t="str">
        <f t="shared" si="25"/>
        <v>Exchange Revenue:  Service Charges - Electricity:  Sales - Commercial Conventional (Single Phase) ELCEBC</v>
      </c>
      <c r="X71" s="892"/>
      <c r="Y71" s="893"/>
    </row>
    <row r="72" spans="1:29" s="39" customFormat="1" ht="16.5" customHeight="1" outlineLevel="3" x14ac:dyDescent="0.35">
      <c r="A72" s="174"/>
      <c r="B72" s="34"/>
      <c r="C72" s="36"/>
      <c r="D72" s="34"/>
      <c r="E72" s="283"/>
      <c r="F72" s="283"/>
      <c r="G72" s="283"/>
      <c r="H72" s="283"/>
      <c r="I72" s="283"/>
      <c r="J72" s="283"/>
      <c r="K72" s="33"/>
      <c r="L72" s="173"/>
      <c r="M72" s="839"/>
      <c r="N72" s="314"/>
      <c r="O72" s="902" t="s">
        <v>1541</v>
      </c>
      <c r="P72" s="895"/>
      <c r="Q72" s="1116"/>
      <c r="R72" s="1004"/>
      <c r="S72" s="1005"/>
      <c r="T72" s="999"/>
      <c r="U72" s="999"/>
      <c r="V72" s="999"/>
      <c r="W72" s="335"/>
      <c r="X72" s="241"/>
      <c r="Z72"/>
      <c r="AA72" s="1061">
        <f>SUM(S73:S79)</f>
        <v>108233177.38641067</v>
      </c>
      <c r="AB72" s="39">
        <f>'Tariff Rand Values 2025-26'!I35</f>
        <v>108233177.38641065</v>
      </c>
      <c r="AC72" s="981">
        <f>AA72-AB72</f>
        <v>0</v>
      </c>
    </row>
    <row r="73" spans="1:29" ht="16.5" customHeight="1" outlineLevel="3" x14ac:dyDescent="0.35">
      <c r="A73" s="174">
        <v>14</v>
      </c>
      <c r="B73" s="34">
        <v>7</v>
      </c>
      <c r="C73" s="36">
        <v>1</v>
      </c>
      <c r="D73" s="34">
        <v>32</v>
      </c>
      <c r="E73" s="283" t="s">
        <v>220</v>
      </c>
      <c r="F73" s="283" t="s">
        <v>146</v>
      </c>
      <c r="G73" s="283" t="s">
        <v>1495</v>
      </c>
      <c r="H73" s="283" t="s">
        <v>1496</v>
      </c>
      <c r="I73" s="283" t="s">
        <v>1497</v>
      </c>
      <c r="J73" s="283" t="s">
        <v>136</v>
      </c>
      <c r="K73" s="33" t="s">
        <v>234</v>
      </c>
      <c r="L73" s="175"/>
      <c r="M73" s="953" t="str">
        <f t="shared" ref="M73:M79" si="26">RIGHT(O73,6)</f>
        <v>ELCLDP</v>
      </c>
      <c r="N73" s="954"/>
      <c r="O73" s="955" t="s">
        <v>1613</v>
      </c>
      <c r="P73" s="900">
        <v>12082795.206921615</v>
      </c>
      <c r="Q73" s="1000">
        <v>15458761.66</v>
      </c>
      <c r="R73" s="1001">
        <f>'Tariff Rand Values 2024-25 Actu'!V37</f>
        <v>15507226.645784426</v>
      </c>
      <c r="S73" s="1006">
        <f t="shared" ref="S73:S78" si="27">R73*(1+$S$2)</f>
        <v>17430122.749861699</v>
      </c>
      <c r="T73" s="1003">
        <f t="shared" ref="T73:T78" si="28">S73*(1+$T$2)</f>
        <v>19155704.902098008</v>
      </c>
      <c r="U73" s="1003">
        <f t="shared" ref="U73:U79" si="29">T73*(1+$U$2)</f>
        <v>20533000.084558856</v>
      </c>
      <c r="V73" s="1003">
        <f t="shared" ref="V73:V79" si="30">U73*(1+$V$2)</f>
        <v>21046325.086672824</v>
      </c>
      <c r="W73" s="336" t="str">
        <f>CONCATENATE($W$11,N73,M73)</f>
        <v>Exchange Revenue:  Service Charges - Electricity:  Sales - Commercial Conventional (Single Phase)ELCLDP</v>
      </c>
      <c r="X73" s="186"/>
      <c r="Y73" s="37"/>
    </row>
    <row r="74" spans="1:29" s="39" customFormat="1" ht="16.5" customHeight="1" outlineLevel="3" x14ac:dyDescent="0.35">
      <c r="A74" s="174">
        <v>14</v>
      </c>
      <c r="B74" s="34">
        <v>7</v>
      </c>
      <c r="C74" s="36">
        <v>1</v>
      </c>
      <c r="D74" s="34">
        <v>32</v>
      </c>
      <c r="E74" s="283" t="s">
        <v>220</v>
      </c>
      <c r="F74" s="283" t="s">
        <v>147</v>
      </c>
      <c r="G74" s="283" t="s">
        <v>1495</v>
      </c>
      <c r="H74" s="283" t="s">
        <v>1496</v>
      </c>
      <c r="I74" s="283" t="s">
        <v>1497</v>
      </c>
      <c r="J74" s="283" t="s">
        <v>136</v>
      </c>
      <c r="K74" s="636" t="s">
        <v>234</v>
      </c>
      <c r="L74" s="173"/>
      <c r="M74" s="957" t="str">
        <f t="shared" si="26"/>
        <v>ELCLDS</v>
      </c>
      <c r="N74" s="954" t="s">
        <v>478</v>
      </c>
      <c r="O74" s="963" t="s">
        <v>1614</v>
      </c>
      <c r="P74" s="900">
        <v>17628562.426670458</v>
      </c>
      <c r="Q74" s="1000">
        <v>22932837.170000002</v>
      </c>
      <c r="R74" s="1001">
        <f>'Tariff Rand Values 2024-25 Actu'!V38</f>
        <v>22149452.473138593</v>
      </c>
      <c r="S74" s="1006">
        <f t="shared" si="27"/>
        <v>24895984.579807781</v>
      </c>
      <c r="T74" s="1003">
        <f t="shared" si="28"/>
        <v>27360687.05320875</v>
      </c>
      <c r="U74" s="1003">
        <f t="shared" si="29"/>
        <v>29327920.45233446</v>
      </c>
      <c r="V74" s="1003">
        <f t="shared" si="30"/>
        <v>30061118.463642817</v>
      </c>
      <c r="W74" s="335" t="s">
        <v>31</v>
      </c>
      <c r="X74" s="241" t="s">
        <v>1912</v>
      </c>
      <c r="Y74" s="37"/>
      <c r="Z74"/>
    </row>
    <row r="75" spans="1:29" ht="16.5" customHeight="1" outlineLevel="3" x14ac:dyDescent="0.35">
      <c r="A75" s="174">
        <v>14</v>
      </c>
      <c r="B75" s="34">
        <v>7</v>
      </c>
      <c r="C75" s="36">
        <v>1</v>
      </c>
      <c r="D75" s="34">
        <v>32</v>
      </c>
      <c r="E75" s="283" t="s">
        <v>220</v>
      </c>
      <c r="F75" s="283" t="s">
        <v>148</v>
      </c>
      <c r="G75" s="283" t="s">
        <v>1495</v>
      </c>
      <c r="H75" s="283" t="s">
        <v>1496</v>
      </c>
      <c r="I75" s="283" t="s">
        <v>1497</v>
      </c>
      <c r="J75" s="283" t="s">
        <v>136</v>
      </c>
      <c r="K75" s="33" t="s">
        <v>234</v>
      </c>
      <c r="L75" s="175"/>
      <c r="M75" s="953" t="str">
        <f t="shared" si="26"/>
        <v>ELCLDO</v>
      </c>
      <c r="N75" s="954" t="s">
        <v>478</v>
      </c>
      <c r="O75" s="955" t="s">
        <v>1578</v>
      </c>
      <c r="P75" s="900">
        <v>14036222.949567094</v>
      </c>
      <c r="Q75" s="1000">
        <v>20904179.109999999</v>
      </c>
      <c r="R75" s="1001">
        <f>'Tariff Rand Values 2024-25 Actu'!V39</f>
        <v>19945677.862554505</v>
      </c>
      <c r="S75" s="1006">
        <f t="shared" si="27"/>
        <v>22418941.917511266</v>
      </c>
      <c r="T75" s="1003">
        <f t="shared" si="28"/>
        <v>24638417.167344879</v>
      </c>
      <c r="U75" s="1003">
        <f t="shared" si="29"/>
        <v>26409919.36167698</v>
      </c>
      <c r="V75" s="1003">
        <f t="shared" si="30"/>
        <v>27070167.345718902</v>
      </c>
      <c r="W75" s="336" t="str">
        <f>CONCATENATE($W$74,N75,M75)</f>
        <v>Exchange Revenue:  Service Charges - Electricity:  Sales - Commercial Conventional (3-Phase) ELCLDO</v>
      </c>
      <c r="X75" s="186"/>
      <c r="Y75" s="37"/>
    </row>
    <row r="76" spans="1:29" ht="16.5" customHeight="1" outlineLevel="3" x14ac:dyDescent="0.35">
      <c r="A76" s="174">
        <v>14</v>
      </c>
      <c r="B76" s="34">
        <v>7</v>
      </c>
      <c r="C76" s="36">
        <v>1</v>
      </c>
      <c r="D76" s="34">
        <v>32</v>
      </c>
      <c r="E76" s="283" t="s">
        <v>220</v>
      </c>
      <c r="F76" s="283" t="s">
        <v>144</v>
      </c>
      <c r="G76" s="283" t="s">
        <v>1495</v>
      </c>
      <c r="H76" s="283" t="s">
        <v>1496</v>
      </c>
      <c r="I76" s="283" t="s">
        <v>1497</v>
      </c>
      <c r="J76" s="283" t="s">
        <v>136</v>
      </c>
      <c r="K76" s="33" t="s">
        <v>234</v>
      </c>
      <c r="L76" s="175"/>
      <c r="M76" s="953" t="str">
        <f t="shared" si="26"/>
        <v>ELCHDP</v>
      </c>
      <c r="N76" s="954"/>
      <c r="O76" s="955" t="s">
        <v>1499</v>
      </c>
      <c r="P76" s="900">
        <v>5438911.0830346048</v>
      </c>
      <c r="Q76" s="1000">
        <v>8418571.3699999992</v>
      </c>
      <c r="R76" s="1001">
        <f>'Tariff Rand Values 2024-25 Actu'!W37</f>
        <v>8418698.727889156</v>
      </c>
      <c r="S76" s="1006">
        <f t="shared" si="27"/>
        <v>9462617.3701474126</v>
      </c>
      <c r="T76" s="1003">
        <f t="shared" si="28"/>
        <v>10399416.489792006</v>
      </c>
      <c r="U76" s="1003">
        <f t="shared" si="29"/>
        <v>11147134.535408052</v>
      </c>
      <c r="V76" s="1003">
        <f t="shared" si="30"/>
        <v>11425812.898793252</v>
      </c>
      <c r="W76" s="336" t="str">
        <f>CONCATENATE($W$11,N76,M76)</f>
        <v>Exchange Revenue:  Service Charges - Electricity:  Sales - Commercial Conventional (Single Phase)ELCHDP</v>
      </c>
      <c r="X76" s="186"/>
      <c r="Y76" s="37"/>
    </row>
    <row r="77" spans="1:29" ht="16.5" customHeight="1" outlineLevel="3" x14ac:dyDescent="0.35">
      <c r="A77" s="174">
        <v>14</v>
      </c>
      <c r="B77" s="34">
        <v>7</v>
      </c>
      <c r="C77" s="36">
        <v>1</v>
      </c>
      <c r="D77" s="34">
        <v>32</v>
      </c>
      <c r="E77" s="283" t="s">
        <v>220</v>
      </c>
      <c r="F77" s="283" t="s">
        <v>155</v>
      </c>
      <c r="G77" s="283" t="s">
        <v>1495</v>
      </c>
      <c r="H77" s="283" t="s">
        <v>1496</v>
      </c>
      <c r="I77" s="283" t="s">
        <v>1497</v>
      </c>
      <c r="J77" s="283" t="s">
        <v>136</v>
      </c>
      <c r="K77" s="33" t="s">
        <v>234</v>
      </c>
      <c r="L77" s="175"/>
      <c r="M77" s="953" t="str">
        <f t="shared" si="26"/>
        <v>ELCHDS</v>
      </c>
      <c r="N77" s="954"/>
      <c r="O77" s="955" t="s">
        <v>1500</v>
      </c>
      <c r="P77" s="900">
        <v>8146131.0975483768</v>
      </c>
      <c r="Q77" s="1000">
        <v>12918782.189999999</v>
      </c>
      <c r="R77" s="1001">
        <f>'Tariff Rand Values 2024-25 Actu'!W38</f>
        <v>13145860.975410014</v>
      </c>
      <c r="S77" s="1006">
        <f t="shared" si="27"/>
        <v>14775947.736360857</v>
      </c>
      <c r="T77" s="1003">
        <f t="shared" si="28"/>
        <v>16238766.562260581</v>
      </c>
      <c r="U77" s="1003">
        <f t="shared" si="29"/>
        <v>17406333.878087118</v>
      </c>
      <c r="V77" s="1003">
        <f t="shared" si="30"/>
        <v>17841492.225039296</v>
      </c>
      <c r="W77" s="336" t="str">
        <f>CONCATENATE($W$11,N77,M77)</f>
        <v>Exchange Revenue:  Service Charges - Electricity:  Sales - Commercial Conventional (Single Phase)ELCHDS</v>
      </c>
      <c r="X77" s="186"/>
      <c r="Y77" s="37"/>
    </row>
    <row r="78" spans="1:29" ht="16.5" customHeight="1" outlineLevel="3" x14ac:dyDescent="0.35">
      <c r="A78" s="174">
        <v>14</v>
      </c>
      <c r="B78" s="34">
        <v>7</v>
      </c>
      <c r="C78" s="36">
        <v>1</v>
      </c>
      <c r="D78" s="34">
        <v>32</v>
      </c>
      <c r="E78" s="283" t="s">
        <v>220</v>
      </c>
      <c r="F78" s="283" t="s">
        <v>145</v>
      </c>
      <c r="G78" s="283" t="s">
        <v>1495</v>
      </c>
      <c r="H78" s="283" t="s">
        <v>1496</v>
      </c>
      <c r="I78" s="283" t="s">
        <v>1497</v>
      </c>
      <c r="J78" s="283" t="s">
        <v>136</v>
      </c>
      <c r="K78" s="33" t="s">
        <v>234</v>
      </c>
      <c r="L78" s="175"/>
      <c r="M78" s="953" t="str">
        <f t="shared" si="26"/>
        <v>ELCHDO</v>
      </c>
      <c r="N78" s="954"/>
      <c r="O78" s="955" t="s">
        <v>1615</v>
      </c>
      <c r="P78" s="900">
        <v>5623711.3389638849</v>
      </c>
      <c r="Q78" s="1000">
        <v>8474174.9399999995</v>
      </c>
      <c r="R78" s="1001">
        <f>'Tariff Rand Values 2024-25 Actu'!W39</f>
        <v>8505493.8634407409</v>
      </c>
      <c r="S78" s="1006">
        <f t="shared" si="27"/>
        <v>9560175.1025073938</v>
      </c>
      <c r="T78" s="1003">
        <f t="shared" si="28"/>
        <v>10506632.437655626</v>
      </c>
      <c r="U78" s="1003">
        <f t="shared" si="29"/>
        <v>11262059.309923066</v>
      </c>
      <c r="V78" s="1003">
        <f t="shared" si="30"/>
        <v>11543610.792671142</v>
      </c>
      <c r="W78" s="336" t="str">
        <f>CONCATENATE($W$11,N78,M78)</f>
        <v>Exchange Revenue:  Service Charges - Electricity:  Sales - Commercial Conventional (Single Phase)ELCHDO</v>
      </c>
      <c r="X78" s="186"/>
      <c r="Y78" s="37"/>
    </row>
    <row r="79" spans="1:29" ht="16.5" customHeight="1" outlineLevel="3" x14ac:dyDescent="0.35">
      <c r="A79" s="912">
        <v>14</v>
      </c>
      <c r="B79" s="913">
        <v>7</v>
      </c>
      <c r="C79" s="914">
        <v>1</v>
      </c>
      <c r="D79" s="913">
        <v>32</v>
      </c>
      <c r="E79" s="915" t="s">
        <v>220</v>
      </c>
      <c r="F79" s="915" t="s">
        <v>149</v>
      </c>
      <c r="G79" s="915" t="s">
        <v>1495</v>
      </c>
      <c r="H79" s="915" t="s">
        <v>1496</v>
      </c>
      <c r="I79" s="915" t="s">
        <v>1497</v>
      </c>
      <c r="J79" s="915" t="s">
        <v>136</v>
      </c>
      <c r="K79" s="916" t="s">
        <v>234</v>
      </c>
      <c r="L79" s="917"/>
      <c r="M79" s="918" t="str">
        <f t="shared" si="26"/>
        <v>ELCOBC</v>
      </c>
      <c r="N79" s="919" t="s">
        <v>478</v>
      </c>
      <c r="O79" s="920" t="s">
        <v>1501</v>
      </c>
      <c r="P79" s="921">
        <v>4457875.1257904638</v>
      </c>
      <c r="Q79" s="1007">
        <v>5545124.1299999999</v>
      </c>
      <c r="R79" s="1008">
        <f>'Tariff Rand Values 2024-25 Actu'!V36+'Tariff Rand Values 2024-25 Actu'!W36</f>
        <v>5382168</v>
      </c>
      <c r="S79" s="1009">
        <f>'Tariff Rand Values 2025-26'!I36</f>
        <v>9689387.9302142616</v>
      </c>
      <c r="T79" s="1010">
        <f>'Tariff Rand Values 2026-27'!I40</f>
        <v>12909494.519022139</v>
      </c>
      <c r="U79" s="1010">
        <f t="shared" si="29"/>
        <v>13837687.174939832</v>
      </c>
      <c r="V79" s="1003">
        <f t="shared" si="30"/>
        <v>14183629.354313327</v>
      </c>
      <c r="W79" s="891" t="str">
        <f>CONCATENATE($W$74,N79,M79)</f>
        <v>Exchange Revenue:  Service Charges - Electricity:  Sales - Commercial Conventional (3-Phase) ELCOBC</v>
      </c>
      <c r="X79" s="892"/>
      <c r="Y79" s="893"/>
    </row>
    <row r="80" spans="1:29" s="39" customFormat="1" ht="16.5" customHeight="1" outlineLevel="3" x14ac:dyDescent="0.35">
      <c r="A80" s="174"/>
      <c r="B80" s="34"/>
      <c r="C80" s="36"/>
      <c r="D80" s="34"/>
      <c r="E80" s="283"/>
      <c r="F80" s="283"/>
      <c r="G80" s="283"/>
      <c r="H80" s="283"/>
      <c r="I80" s="283"/>
      <c r="J80" s="283"/>
      <c r="K80" s="33"/>
      <c r="L80" s="173"/>
      <c r="M80" s="839"/>
      <c r="N80" s="314"/>
      <c r="O80" s="902" t="s">
        <v>1610</v>
      </c>
      <c r="P80" s="895"/>
      <c r="Q80" s="1116"/>
      <c r="R80" s="1004"/>
      <c r="S80" s="1005"/>
      <c r="T80" s="999"/>
      <c r="U80" s="999"/>
      <c r="V80" s="999"/>
      <c r="W80" s="335"/>
      <c r="X80" s="241"/>
      <c r="Z80"/>
      <c r="AA80" s="1061">
        <f>SUM(S81:S89)</f>
        <v>182110141.00872922</v>
      </c>
      <c r="AB80" s="39">
        <f>'Tariff Rand Values 2025-26'!I40</f>
        <v>182110141.00872922</v>
      </c>
      <c r="AC80" s="981">
        <f>AA80-AB80</f>
        <v>0</v>
      </c>
    </row>
    <row r="81" spans="1:29" ht="16.5" customHeight="1" outlineLevel="3" x14ac:dyDescent="0.35">
      <c r="A81" s="174">
        <v>14</v>
      </c>
      <c r="B81" s="34">
        <v>7</v>
      </c>
      <c r="C81" s="36">
        <v>1</v>
      </c>
      <c r="D81" s="34">
        <v>32</v>
      </c>
      <c r="E81" s="283" t="s">
        <v>230</v>
      </c>
      <c r="F81" s="283" t="s">
        <v>148</v>
      </c>
      <c r="G81" s="283" t="s">
        <v>1495</v>
      </c>
      <c r="H81" s="283" t="s">
        <v>1496</v>
      </c>
      <c r="I81" s="283" t="s">
        <v>1497</v>
      </c>
      <c r="J81" s="283" t="s">
        <v>136</v>
      </c>
      <c r="K81" s="33" t="s">
        <v>234</v>
      </c>
      <c r="L81" s="175"/>
      <c r="M81" s="953" t="str">
        <f t="shared" ref="M81:M86" si="31">RIGHT(O81,6)</f>
        <v>ELP001</v>
      </c>
      <c r="N81" s="956"/>
      <c r="O81" s="955" t="s">
        <v>1514</v>
      </c>
      <c r="P81" s="900">
        <v>17480819.01916464</v>
      </c>
      <c r="Q81" s="1000">
        <v>16115674.119999999</v>
      </c>
      <c r="R81" s="1001">
        <f>'Tariff Rand Values 2024-25 Actu'!V44</f>
        <v>14830279.745050229</v>
      </c>
      <c r="S81" s="1006">
        <f t="shared" ref="S81:S89" si="32">R81*(1+$S$2)</f>
        <v>16669234.433436459</v>
      </c>
      <c r="T81" s="1003">
        <f t="shared" ref="T81:T89" si="33">S81*(1+$T$2)</f>
        <v>18319488.642346669</v>
      </c>
      <c r="U81" s="1003">
        <f t="shared" ref="U81:U89" si="34">T81*(1+$U$2)</f>
        <v>19636659.875731397</v>
      </c>
      <c r="V81" s="1003">
        <f t="shared" ref="V81:V89" si="35">U81*(1+$V$2)</f>
        <v>20127576.37262468</v>
      </c>
      <c r="W81" s="340" t="str">
        <f t="shared" ref="W81:W87" si="36">CONCATENATE($W$39,N81,M81)</f>
        <v>Exchange Revenue:  Service Charges - Electricity:  Sales - Domestic High:  Home power BulkELP001</v>
      </c>
      <c r="X81" s="188"/>
      <c r="Y81" s="37"/>
    </row>
    <row r="82" spans="1:29" ht="16.5" customHeight="1" outlineLevel="3" x14ac:dyDescent="0.35">
      <c r="A82" s="174">
        <v>14</v>
      </c>
      <c r="B82" s="34">
        <v>7</v>
      </c>
      <c r="C82" s="36">
        <v>1</v>
      </c>
      <c r="D82" s="34">
        <v>32</v>
      </c>
      <c r="E82" s="283" t="s">
        <v>230</v>
      </c>
      <c r="F82" s="283" t="s">
        <v>149</v>
      </c>
      <c r="G82" s="283" t="s">
        <v>1495</v>
      </c>
      <c r="H82" s="283" t="s">
        <v>1496</v>
      </c>
      <c r="I82" s="283" t="s">
        <v>1497</v>
      </c>
      <c r="J82" s="283" t="s">
        <v>136</v>
      </c>
      <c r="K82" s="33" t="s">
        <v>234</v>
      </c>
      <c r="L82" s="175"/>
      <c r="M82" s="953" t="str">
        <f t="shared" si="31"/>
        <v>ELS001</v>
      </c>
      <c r="N82" s="962"/>
      <c r="O82" s="955" t="s">
        <v>1579</v>
      </c>
      <c r="P82" s="900">
        <v>25882164.260130636</v>
      </c>
      <c r="Q82" s="1000">
        <v>24412731</v>
      </c>
      <c r="R82" s="1001">
        <f>'Tariff Rand Values 2024-25 Actu'!V45</f>
        <v>23108819.488728568</v>
      </c>
      <c r="S82" s="1006">
        <f t="shared" si="32"/>
        <v>25974313.105330914</v>
      </c>
      <c r="T82" s="1003">
        <f t="shared" si="33"/>
        <v>28545770.102758676</v>
      </c>
      <c r="U82" s="1003">
        <f t="shared" si="34"/>
        <v>30598210.973147027</v>
      </c>
      <c r="V82" s="1003">
        <f t="shared" si="35"/>
        <v>31363166.247475699</v>
      </c>
      <c r="W82" s="340" t="str">
        <f t="shared" si="36"/>
        <v>Exchange Revenue:  Service Charges - Electricity:  Sales - Domestic High:  Home power BulkELS001</v>
      </c>
      <c r="X82" s="188"/>
      <c r="Y82" s="37"/>
    </row>
    <row r="83" spans="1:29" ht="16.5" customHeight="1" outlineLevel="3" x14ac:dyDescent="0.35">
      <c r="A83" s="174">
        <v>14</v>
      </c>
      <c r="B83" s="34">
        <v>7</v>
      </c>
      <c r="C83" s="36">
        <v>1</v>
      </c>
      <c r="D83" s="34">
        <v>32</v>
      </c>
      <c r="E83" s="283" t="s">
        <v>230</v>
      </c>
      <c r="F83" s="283" t="s">
        <v>150</v>
      </c>
      <c r="G83" s="283" t="s">
        <v>1495</v>
      </c>
      <c r="H83" s="283" t="s">
        <v>1496</v>
      </c>
      <c r="I83" s="283" t="s">
        <v>1497</v>
      </c>
      <c r="J83" s="283" t="s">
        <v>136</v>
      </c>
      <c r="K83" s="33" t="s">
        <v>234</v>
      </c>
      <c r="L83" s="175"/>
      <c r="M83" s="953" t="str">
        <f t="shared" si="31"/>
        <v>ELO001</v>
      </c>
      <c r="N83" s="962"/>
      <c r="O83" s="955" t="s">
        <v>1580</v>
      </c>
      <c r="P83" s="900">
        <v>23457420.354713477</v>
      </c>
      <c r="Q83" s="1000">
        <v>24127895.989999998</v>
      </c>
      <c r="R83" s="1001">
        <f>'Tariff Rand Values 2024-25 Actu'!V46</f>
        <v>22874620.531600989</v>
      </c>
      <c r="S83" s="1006">
        <f t="shared" si="32"/>
        <v>25711073.477519516</v>
      </c>
      <c r="T83" s="1003">
        <f t="shared" si="33"/>
        <v>28256469.751793947</v>
      </c>
      <c r="U83" s="1003">
        <f t="shared" si="34"/>
        <v>30288109.926947933</v>
      </c>
      <c r="V83" s="1003">
        <f t="shared" si="35"/>
        <v>31045312.675121628</v>
      </c>
      <c r="W83" s="340" t="str">
        <f t="shared" si="36"/>
        <v>Exchange Revenue:  Service Charges - Electricity:  Sales - Domestic High:  Home power BulkELO001</v>
      </c>
      <c r="X83" s="188"/>
      <c r="Y83" s="37"/>
    </row>
    <row r="84" spans="1:29" ht="16.5" customHeight="1" outlineLevel="3" x14ac:dyDescent="0.35">
      <c r="A84" s="174">
        <v>14</v>
      </c>
      <c r="B84" s="34">
        <v>7</v>
      </c>
      <c r="C84" s="36">
        <v>1</v>
      </c>
      <c r="D84" s="34">
        <v>32</v>
      </c>
      <c r="E84" s="283" t="s">
        <v>230</v>
      </c>
      <c r="F84" s="283" t="s">
        <v>147</v>
      </c>
      <c r="G84" s="283" t="s">
        <v>1495</v>
      </c>
      <c r="H84" s="283" t="s">
        <v>1496</v>
      </c>
      <c r="I84" s="283" t="s">
        <v>1497</v>
      </c>
      <c r="J84" s="283" t="s">
        <v>136</v>
      </c>
      <c r="K84" s="33" t="s">
        <v>234</v>
      </c>
      <c r="L84" s="175"/>
      <c r="M84" s="953" t="str">
        <f t="shared" si="31"/>
        <v>ELHP01</v>
      </c>
      <c r="N84" s="954"/>
      <c r="O84" s="955" t="s">
        <v>1513</v>
      </c>
      <c r="P84" s="900">
        <v>11178527.969646122</v>
      </c>
      <c r="Q84" s="1000">
        <v>18670791.600000001</v>
      </c>
      <c r="R84" s="1001">
        <f>'Tariff Rand Values 2024-25 Actu'!W44</f>
        <v>15706214.332853602</v>
      </c>
      <c r="S84" s="1006">
        <f t="shared" si="32"/>
        <v>17653784.91012745</v>
      </c>
      <c r="T84" s="1003">
        <f t="shared" si="33"/>
        <v>19401509.616230067</v>
      </c>
      <c r="U84" s="1003">
        <f t="shared" si="34"/>
        <v>20796478.157637011</v>
      </c>
      <c r="V84" s="1003">
        <f t="shared" si="35"/>
        <v>21316390.111577936</v>
      </c>
      <c r="W84" s="340" t="str">
        <f t="shared" si="36"/>
        <v>Exchange Revenue:  Service Charges - Electricity:  Sales - Domestic High:  Home power BulkELHP01</v>
      </c>
      <c r="X84" s="188"/>
      <c r="Y84" s="37"/>
    </row>
    <row r="85" spans="1:29" ht="16.5" customHeight="1" outlineLevel="3" x14ac:dyDescent="0.35">
      <c r="A85" s="174">
        <v>14</v>
      </c>
      <c r="B85" s="34">
        <v>7</v>
      </c>
      <c r="C85" s="36">
        <v>1</v>
      </c>
      <c r="D85" s="34">
        <v>32</v>
      </c>
      <c r="E85" s="283" t="s">
        <v>230</v>
      </c>
      <c r="F85" s="283" t="s">
        <v>146</v>
      </c>
      <c r="G85" s="283" t="s">
        <v>1495</v>
      </c>
      <c r="H85" s="283" t="s">
        <v>1496</v>
      </c>
      <c r="I85" s="283" t="s">
        <v>1497</v>
      </c>
      <c r="J85" s="283" t="s">
        <v>136</v>
      </c>
      <c r="K85" s="33" t="s">
        <v>234</v>
      </c>
      <c r="L85" s="175"/>
      <c r="M85" s="953" t="str">
        <f t="shared" si="31"/>
        <v>ELHS01</v>
      </c>
      <c r="N85" s="954"/>
      <c r="O85" s="955" t="s">
        <v>1581</v>
      </c>
      <c r="P85" s="900">
        <v>14076534.848463818</v>
      </c>
      <c r="Q85" s="1000">
        <v>19042061.969999999</v>
      </c>
      <c r="R85" s="1001">
        <f>'Tariff Rand Values 2024-25 Actu'!W45</f>
        <v>18872883.370713558</v>
      </c>
      <c r="S85" s="1006">
        <f>R85*(1+$S$2)</f>
        <v>21213120.908682041</v>
      </c>
      <c r="T85" s="1003">
        <f t="shared" si="33"/>
        <v>23313219.878641561</v>
      </c>
      <c r="U85" s="1003">
        <f t="shared" si="34"/>
        <v>24989440.387915891</v>
      </c>
      <c r="V85" s="1003">
        <f t="shared" si="35"/>
        <v>25614176.397613786</v>
      </c>
      <c r="W85" s="340" t="str">
        <f t="shared" si="36"/>
        <v>Exchange Revenue:  Service Charges - Electricity:  Sales - Domestic High:  Home power BulkELHS01</v>
      </c>
      <c r="X85" s="188"/>
      <c r="Y85" s="37"/>
    </row>
    <row r="86" spans="1:29" ht="16.5" customHeight="1" outlineLevel="3" x14ac:dyDescent="0.35">
      <c r="A86" s="174">
        <v>14</v>
      </c>
      <c r="B86" s="34">
        <v>7</v>
      </c>
      <c r="C86" s="36">
        <v>1</v>
      </c>
      <c r="D86" s="34">
        <v>32</v>
      </c>
      <c r="E86" s="283" t="s">
        <v>230</v>
      </c>
      <c r="F86" s="283" t="s">
        <v>145</v>
      </c>
      <c r="G86" s="283" t="s">
        <v>1495</v>
      </c>
      <c r="H86" s="283" t="s">
        <v>1496</v>
      </c>
      <c r="I86" s="283" t="s">
        <v>1497</v>
      </c>
      <c r="J86" s="283" t="s">
        <v>136</v>
      </c>
      <c r="K86" s="33" t="s">
        <v>234</v>
      </c>
      <c r="L86" s="175"/>
      <c r="M86" s="953" t="str">
        <f t="shared" si="31"/>
        <v>ELHO01</v>
      </c>
      <c r="N86" s="956"/>
      <c r="O86" s="955" t="s">
        <v>1582</v>
      </c>
      <c r="P86" s="900">
        <v>14879091.849246521</v>
      </c>
      <c r="Q86" s="1000">
        <v>15947797.029999999</v>
      </c>
      <c r="R86" s="1001">
        <f>'Tariff Rand Values 2024-25 Actu'!W46</f>
        <v>17781602.175170109</v>
      </c>
      <c r="S86" s="1006">
        <f t="shared" si="32"/>
        <v>19986520.844891205</v>
      </c>
      <c r="T86" s="1003">
        <f t="shared" si="33"/>
        <v>21965186.408535436</v>
      </c>
      <c r="U86" s="1003">
        <f t="shared" si="34"/>
        <v>23544483.311309136</v>
      </c>
      <c r="V86" s="1003">
        <f t="shared" si="35"/>
        <v>24133095.394091863</v>
      </c>
      <c r="W86" s="340" t="str">
        <f t="shared" si="36"/>
        <v>Exchange Revenue:  Service Charges - Electricity:  Sales - Domestic High:  Home power BulkELHO01</v>
      </c>
      <c r="X86" s="188"/>
      <c r="Y86" s="37"/>
    </row>
    <row r="87" spans="1:29" ht="16.5" customHeight="1" outlineLevel="3" x14ac:dyDescent="0.35">
      <c r="A87" s="912">
        <v>14</v>
      </c>
      <c r="B87" s="913">
        <v>7</v>
      </c>
      <c r="C87" s="914">
        <v>1</v>
      </c>
      <c r="D87" s="913">
        <v>32</v>
      </c>
      <c r="E87" s="915" t="s">
        <v>230</v>
      </c>
      <c r="F87" s="915" t="s">
        <v>242</v>
      </c>
      <c r="G87" s="915" t="s">
        <v>1495</v>
      </c>
      <c r="H87" s="915" t="s">
        <v>1496</v>
      </c>
      <c r="I87" s="915" t="s">
        <v>1497</v>
      </c>
      <c r="J87" s="915" t="s">
        <v>136</v>
      </c>
      <c r="K87" s="916" t="s">
        <v>234</v>
      </c>
      <c r="L87" s="917"/>
      <c r="M87" s="1112" t="str">
        <f>RIGHT(O87,12)</f>
        <v>BASIC CHARGE</v>
      </c>
      <c r="N87" s="919"/>
      <c r="O87" s="920" t="s">
        <v>1611</v>
      </c>
      <c r="P87" s="921">
        <v>203360.72695847997</v>
      </c>
      <c r="Q87" s="1007">
        <v>1411942.76</v>
      </c>
      <c r="R87" s="1010">
        <f>'Tariff Rand Values 2024-25 Actu'!V41+'Tariff Rand Values 2024-25 Actu'!W41</f>
        <v>192863.88</v>
      </c>
      <c r="S87" s="1009">
        <f>'Tariff Rand Values 2025-26'!I41</f>
        <v>216772.24241558588</v>
      </c>
      <c r="T87" s="1010">
        <f>'Tariff Rand Values 2026-27'!I45</f>
        <v>238232.6944147289</v>
      </c>
      <c r="U87" s="1010">
        <f t="shared" si="34"/>
        <v>255361.62514314792</v>
      </c>
      <c r="V87" s="1003">
        <f t="shared" si="35"/>
        <v>261745.66577172661</v>
      </c>
      <c r="W87" s="891" t="str">
        <f t="shared" si="36"/>
        <v>Exchange Revenue:  Service Charges - Electricity:  Sales - Domestic High:  Home power BulkBASIC CHARGE</v>
      </c>
      <c r="X87" s="892"/>
      <c r="Y87" s="893"/>
    </row>
    <row r="88" spans="1:29" ht="16.5" customHeight="1" outlineLevel="3" x14ac:dyDescent="0.35">
      <c r="A88" s="174">
        <v>14</v>
      </c>
      <c r="B88" s="34">
        <v>7</v>
      </c>
      <c r="C88" s="36">
        <v>1</v>
      </c>
      <c r="D88" s="34">
        <v>32</v>
      </c>
      <c r="E88" s="283" t="s">
        <v>230</v>
      </c>
      <c r="F88" s="283" t="s">
        <v>144</v>
      </c>
      <c r="G88" s="283" t="s">
        <v>1495</v>
      </c>
      <c r="H88" s="283" t="s">
        <v>1496</v>
      </c>
      <c r="I88" s="283" t="s">
        <v>1497</v>
      </c>
      <c r="J88" s="283" t="s">
        <v>136</v>
      </c>
      <c r="K88" s="33" t="s">
        <v>234</v>
      </c>
      <c r="L88" s="175"/>
      <c r="M88" s="940" t="str">
        <f>RIGHT(O88,13)</f>
        <v>ACCESS CHARGE</v>
      </c>
      <c r="N88" s="940"/>
      <c r="O88" s="941" t="s">
        <v>1948</v>
      </c>
      <c r="P88" s="942">
        <v>15315633.900401294</v>
      </c>
      <c r="Q88" s="1012">
        <v>17507086.739999998</v>
      </c>
      <c r="R88" s="1014">
        <f>'Tariff Rand Values 2024-25 Actu'!V42+'Tariff Rand Values 2024-25 Actu'!W42</f>
        <v>15968963.265419377</v>
      </c>
      <c r="S88" s="1013">
        <f t="shared" si="32"/>
        <v>17949114.71033138</v>
      </c>
      <c r="T88" s="1014">
        <f t="shared" si="33"/>
        <v>19726077.066654187</v>
      </c>
      <c r="U88" s="1014">
        <f t="shared" si="34"/>
        <v>21144382.007746626</v>
      </c>
      <c r="V88" s="1003">
        <f t="shared" si="35"/>
        <v>21672991.557940289</v>
      </c>
      <c r="W88" s="340"/>
      <c r="X88" s="188"/>
      <c r="Y88" s="37"/>
    </row>
    <row r="89" spans="1:29" ht="16.5" customHeight="1" outlineLevel="3" x14ac:dyDescent="0.35">
      <c r="A89" s="174">
        <v>14</v>
      </c>
      <c r="B89" s="34">
        <v>7</v>
      </c>
      <c r="C89" s="36">
        <v>1</v>
      </c>
      <c r="D89" s="34">
        <v>32</v>
      </c>
      <c r="E89" s="283" t="s">
        <v>230</v>
      </c>
      <c r="F89" s="283" t="s">
        <v>155</v>
      </c>
      <c r="G89" s="283" t="s">
        <v>1495</v>
      </c>
      <c r="H89" s="283" t="s">
        <v>1496</v>
      </c>
      <c r="I89" s="283" t="s">
        <v>1497</v>
      </c>
      <c r="J89" s="283" t="s">
        <v>136</v>
      </c>
      <c r="K89" s="33" t="s">
        <v>234</v>
      </c>
      <c r="L89" s="175"/>
      <c r="M89" s="940" t="str">
        <f t="shared" ref="M89" si="37">RIGHT(O89,6)</f>
        <v>ELK001</v>
      </c>
      <c r="N89" s="940"/>
      <c r="O89" s="941" t="s">
        <v>1583</v>
      </c>
      <c r="P89" s="942">
        <v>69021073.445549592</v>
      </c>
      <c r="Q89" s="1012">
        <v>34830960.409999996</v>
      </c>
      <c r="R89" s="1014">
        <f>'Tariff Rand Values 2024-25 Actu'!V43+'Tariff Rand Values 2024-25 Actu'!W43</f>
        <v>32683457.62988849</v>
      </c>
      <c r="S89" s="1013">
        <f t="shared" si="32"/>
        <v>36736206.375994667</v>
      </c>
      <c r="T89" s="1014">
        <f t="shared" si="33"/>
        <v>40373090.807218142</v>
      </c>
      <c r="U89" s="1014">
        <f t="shared" si="34"/>
        <v>43275916.036257133</v>
      </c>
      <c r="V89" s="1003">
        <f t="shared" si="35"/>
        <v>44357813.937163554</v>
      </c>
      <c r="W89" s="340" t="str">
        <f>CONCATENATE($W$39,N89,M89)</f>
        <v>Exchange Revenue:  Service Charges - Electricity:  Sales - Domestic High:  Home power BulkELK001</v>
      </c>
      <c r="X89" s="188"/>
      <c r="Y89" s="37"/>
    </row>
    <row r="90" spans="1:29" s="39" customFormat="1" ht="16.5" customHeight="1" outlineLevel="3" x14ac:dyDescent="0.35">
      <c r="A90" s="174"/>
      <c r="B90" s="34"/>
      <c r="C90" s="36"/>
      <c r="D90" s="34"/>
      <c r="E90" s="283"/>
      <c r="F90" s="283"/>
      <c r="G90" s="283"/>
      <c r="H90" s="283"/>
      <c r="I90" s="283"/>
      <c r="J90" s="283"/>
      <c r="K90" s="33"/>
      <c r="L90" s="173"/>
      <c r="M90" s="839"/>
      <c r="N90" s="314"/>
      <c r="O90" s="902" t="s">
        <v>1542</v>
      </c>
      <c r="P90" s="895"/>
      <c r="Q90" s="1116"/>
      <c r="R90" s="1004"/>
      <c r="S90" s="1005"/>
      <c r="T90" s="999"/>
      <c r="U90" s="999"/>
      <c r="V90" s="999"/>
      <c r="W90" s="335"/>
      <c r="X90" s="241"/>
      <c r="Z90"/>
      <c r="AA90" s="1061">
        <f>SUM(S91:S99)</f>
        <v>1036439317.9002841</v>
      </c>
      <c r="AB90" s="39">
        <f>'Tariff Rand Values 2025-26'!I47</f>
        <v>1036439317.9002839</v>
      </c>
      <c r="AC90" s="981">
        <f>AA90-AB90</f>
        <v>0</v>
      </c>
    </row>
    <row r="91" spans="1:29" ht="16.5" customHeight="1" outlineLevel="3" x14ac:dyDescent="0.35">
      <c r="A91" s="947">
        <v>14</v>
      </c>
      <c r="B91" s="948">
        <v>7</v>
      </c>
      <c r="C91" s="949">
        <v>1</v>
      </c>
      <c r="D91" s="948">
        <v>32</v>
      </c>
      <c r="E91" s="950" t="s">
        <v>230</v>
      </c>
      <c r="F91" s="950" t="s">
        <v>1729</v>
      </c>
      <c r="G91" s="950" t="s">
        <v>1495</v>
      </c>
      <c r="H91" s="950" t="s">
        <v>1496</v>
      </c>
      <c r="I91" s="950" t="s">
        <v>1497</v>
      </c>
      <c r="J91" s="950" t="s">
        <v>136</v>
      </c>
      <c r="K91" s="951" t="s">
        <v>234</v>
      </c>
      <c r="L91" s="952"/>
      <c r="M91" s="953" t="str">
        <f t="shared" ref="M91:M96" si="38">RIGHT(O91,6)</f>
        <v>ELP002</v>
      </c>
      <c r="N91" s="956" t="s">
        <v>478</v>
      </c>
      <c r="O91" s="955" t="s">
        <v>1609</v>
      </c>
      <c r="P91" s="900">
        <v>100211779.37204604</v>
      </c>
      <c r="Q91" s="1000">
        <v>89072741.540000007</v>
      </c>
      <c r="R91" s="1001">
        <f>'Tariff Rand Values 2024-25 Actu'!V51</f>
        <v>92025149.372079015</v>
      </c>
      <c r="S91" s="1006">
        <f t="shared" ref="S91:S98" si="39">R91*(1+$S$2)</f>
        <v>103436267.89421682</v>
      </c>
      <c r="T91" s="1003">
        <f t="shared" ref="T91:T99" si="40">S91*(1+$T$2)</f>
        <v>113676458.41574429</v>
      </c>
      <c r="U91" s="1003">
        <f t="shared" ref="U91:U99" si="41">T91*(1+$U$2)</f>
        <v>121849795.77583632</v>
      </c>
      <c r="V91" s="1003">
        <f t="shared" ref="V91:V99" si="42">U91*(1+$V$2)</f>
        <v>124896040.67023222</v>
      </c>
      <c r="W91" s="342" t="str">
        <f>CONCATENATE($W$95,N91,M91)</f>
        <v>Exchange Revenue:  Service Charges - Electricity:  Sales - Industrial (400 Volts) (Low Voltage) ELP002</v>
      </c>
      <c r="X91" s="189"/>
      <c r="Y91" s="37"/>
    </row>
    <row r="92" spans="1:29" ht="16.5" customHeight="1" outlineLevel="3" x14ac:dyDescent="0.35">
      <c r="A92" s="947">
        <v>14</v>
      </c>
      <c r="B92" s="948">
        <v>7</v>
      </c>
      <c r="C92" s="949">
        <v>1</v>
      </c>
      <c r="D92" s="948">
        <v>32</v>
      </c>
      <c r="E92" s="950" t="s">
        <v>230</v>
      </c>
      <c r="F92" s="950" t="s">
        <v>1732</v>
      </c>
      <c r="G92" s="950" t="s">
        <v>1495</v>
      </c>
      <c r="H92" s="950" t="s">
        <v>1496</v>
      </c>
      <c r="I92" s="950" t="s">
        <v>1497</v>
      </c>
      <c r="J92" s="950" t="s">
        <v>136</v>
      </c>
      <c r="K92" s="951" t="s">
        <v>234</v>
      </c>
      <c r="L92" s="952"/>
      <c r="M92" s="953" t="str">
        <f t="shared" si="38"/>
        <v>ELS002</v>
      </c>
      <c r="N92" s="956" t="s">
        <v>478</v>
      </c>
      <c r="O92" s="955" t="s">
        <v>1608</v>
      </c>
      <c r="P92" s="900">
        <v>162077890.13445935</v>
      </c>
      <c r="Q92" s="1000">
        <v>145223112.40000001</v>
      </c>
      <c r="R92" s="1001">
        <f>'Tariff Rand Values 2024-25 Actu'!V52</f>
        <v>151735167.05654678</v>
      </c>
      <c r="S92" s="1006">
        <f t="shared" si="39"/>
        <v>170550327.77155858</v>
      </c>
      <c r="T92" s="1003">
        <f t="shared" si="40"/>
        <v>187434810.22094288</v>
      </c>
      <c r="U92" s="1003">
        <f t="shared" si="41"/>
        <v>200911373.0758287</v>
      </c>
      <c r="V92" s="1003">
        <f t="shared" si="42"/>
        <v>205934157.40272442</v>
      </c>
      <c r="W92" s="342" t="str">
        <f>CONCATENATE($W$95,N92,M92)</f>
        <v>Exchange Revenue:  Service Charges - Electricity:  Sales - Industrial (400 Volts) (Low Voltage) ELS002</v>
      </c>
      <c r="X92" s="189"/>
      <c r="Y92" s="37"/>
    </row>
    <row r="93" spans="1:29" ht="16.5" customHeight="1" outlineLevel="3" x14ac:dyDescent="0.35">
      <c r="A93" s="947">
        <v>14</v>
      </c>
      <c r="B93" s="948">
        <v>7</v>
      </c>
      <c r="C93" s="949">
        <v>1</v>
      </c>
      <c r="D93" s="948">
        <v>32</v>
      </c>
      <c r="E93" s="950" t="s">
        <v>230</v>
      </c>
      <c r="F93" s="950" t="s">
        <v>1735</v>
      </c>
      <c r="G93" s="950" t="s">
        <v>1495</v>
      </c>
      <c r="H93" s="950" t="s">
        <v>1496</v>
      </c>
      <c r="I93" s="950" t="s">
        <v>1497</v>
      </c>
      <c r="J93" s="950" t="s">
        <v>136</v>
      </c>
      <c r="K93" s="951" t="s">
        <v>234</v>
      </c>
      <c r="L93" s="952"/>
      <c r="M93" s="953" t="str">
        <f t="shared" si="38"/>
        <v>ELO002</v>
      </c>
      <c r="N93" s="956" t="s">
        <v>478</v>
      </c>
      <c r="O93" s="955" t="s">
        <v>1607</v>
      </c>
      <c r="P93" s="900">
        <v>145740161.13175467</v>
      </c>
      <c r="Q93" s="1000">
        <v>136174088.72999999</v>
      </c>
      <c r="R93" s="1001">
        <f>'Tariff Rand Values 2024-25 Actu'!V53</f>
        <v>143238439.52249241</v>
      </c>
      <c r="S93" s="1006">
        <f t="shared" si="39"/>
        <v>161000006.02328148</v>
      </c>
      <c r="T93" s="1003">
        <f t="shared" si="40"/>
        <v>176939006.61958635</v>
      </c>
      <c r="U93" s="1003">
        <f t="shared" si="41"/>
        <v>189660921.19553462</v>
      </c>
      <c r="V93" s="1003">
        <f t="shared" si="42"/>
        <v>194402444.22542298</v>
      </c>
      <c r="W93" s="342" t="str">
        <f>CONCATENATE($W$95,N93,M93)</f>
        <v>Exchange Revenue:  Service Charges - Electricity:  Sales - Industrial (400 Volts) (Low Voltage) ELO002</v>
      </c>
      <c r="X93" s="189"/>
      <c r="Y93" s="37"/>
    </row>
    <row r="94" spans="1:29" ht="16.5" customHeight="1" outlineLevel="3" x14ac:dyDescent="0.35">
      <c r="A94" s="947">
        <v>14</v>
      </c>
      <c r="B94" s="948">
        <v>7</v>
      </c>
      <c r="C94" s="949">
        <v>1</v>
      </c>
      <c r="D94" s="948">
        <v>32</v>
      </c>
      <c r="E94" s="950" t="s">
        <v>230</v>
      </c>
      <c r="F94" s="950" t="s">
        <v>1720</v>
      </c>
      <c r="G94" s="950" t="s">
        <v>1495</v>
      </c>
      <c r="H94" s="950" t="s">
        <v>1496</v>
      </c>
      <c r="I94" s="950" t="s">
        <v>1497</v>
      </c>
      <c r="J94" s="950" t="s">
        <v>136</v>
      </c>
      <c r="K94" s="951" t="s">
        <v>234</v>
      </c>
      <c r="L94" s="952"/>
      <c r="M94" s="958" t="str">
        <f t="shared" si="38"/>
        <v>ELHP02</v>
      </c>
      <c r="N94" s="956" t="s">
        <v>478</v>
      </c>
      <c r="O94" s="959" t="s">
        <v>1515</v>
      </c>
      <c r="P94" s="900">
        <v>51806589.42159766</v>
      </c>
      <c r="Q94" s="1000">
        <v>62493606.280000001</v>
      </c>
      <c r="R94" s="1001">
        <f>'Tariff Rand Values 2024-25 Actu'!W51</f>
        <v>69798013.507120341</v>
      </c>
      <c r="S94" s="1006">
        <f t="shared" si="39"/>
        <v>78452967.182003275</v>
      </c>
      <c r="T94" s="1003">
        <f t="shared" si="40"/>
        <v>86219810.93302159</v>
      </c>
      <c r="U94" s="1003">
        <f t="shared" si="41"/>
        <v>92419015.339105844</v>
      </c>
      <c r="V94" s="1003">
        <f t="shared" si="42"/>
        <v>94729490.722583488</v>
      </c>
      <c r="W94" s="340" t="str">
        <f>CONCATENATE($W$97,N94,M94)</f>
        <v>Exchange Revenue:  Service Charges - Electricity:  Sales - Domestic High:  Prepaid ELHP02</v>
      </c>
      <c r="X94" s="188"/>
      <c r="Y94" s="37"/>
    </row>
    <row r="95" spans="1:29" s="39" customFormat="1" ht="16.5" customHeight="1" outlineLevel="3" x14ac:dyDescent="0.35">
      <c r="A95" s="947">
        <v>14</v>
      </c>
      <c r="B95" s="948">
        <v>7</v>
      </c>
      <c r="C95" s="949">
        <v>1</v>
      </c>
      <c r="D95" s="948">
        <v>32</v>
      </c>
      <c r="E95" s="950" t="s">
        <v>230</v>
      </c>
      <c r="F95" s="950" t="s">
        <v>1723</v>
      </c>
      <c r="G95" s="950" t="s">
        <v>1495</v>
      </c>
      <c r="H95" s="950" t="s">
        <v>1496</v>
      </c>
      <c r="I95" s="950" t="s">
        <v>1497</v>
      </c>
      <c r="J95" s="950" t="s">
        <v>136</v>
      </c>
      <c r="K95" s="960" t="s">
        <v>234</v>
      </c>
      <c r="L95" s="961"/>
      <c r="M95" s="957" t="str">
        <f t="shared" si="38"/>
        <v>ELHS02</v>
      </c>
      <c r="N95" s="956" t="s">
        <v>478</v>
      </c>
      <c r="O95" s="955" t="s">
        <v>1584</v>
      </c>
      <c r="P95" s="900">
        <v>69693858.900816336</v>
      </c>
      <c r="Q95" s="1000">
        <v>76043099.680000007</v>
      </c>
      <c r="R95" s="1001">
        <f>'Tariff Rand Values 2024-25 Actu'!W52</f>
        <v>84128594.776932418</v>
      </c>
      <c r="S95" s="1006">
        <f t="shared" si="39"/>
        <v>94560540.52927205</v>
      </c>
      <c r="T95" s="1003">
        <f t="shared" si="40"/>
        <v>103922034.04166998</v>
      </c>
      <c r="U95" s="1003">
        <f t="shared" si="41"/>
        <v>111394028.28926606</v>
      </c>
      <c r="V95" s="1003">
        <f t="shared" si="42"/>
        <v>114178878.99649771</v>
      </c>
      <c r="W95" s="341" t="s">
        <v>52</v>
      </c>
      <c r="X95" s="244" t="s">
        <v>1913</v>
      </c>
      <c r="Y95" s="37"/>
      <c r="Z95"/>
    </row>
    <row r="96" spans="1:29" ht="16.5" customHeight="1" outlineLevel="3" x14ac:dyDescent="0.35">
      <c r="A96" s="947">
        <v>14</v>
      </c>
      <c r="B96" s="948">
        <v>7</v>
      </c>
      <c r="C96" s="949">
        <v>1</v>
      </c>
      <c r="D96" s="948">
        <v>32</v>
      </c>
      <c r="E96" s="950" t="s">
        <v>230</v>
      </c>
      <c r="F96" s="950" t="s">
        <v>1726</v>
      </c>
      <c r="G96" s="950" t="s">
        <v>1495</v>
      </c>
      <c r="H96" s="950" t="s">
        <v>1496</v>
      </c>
      <c r="I96" s="950" t="s">
        <v>1497</v>
      </c>
      <c r="J96" s="950" t="s">
        <v>136</v>
      </c>
      <c r="K96" s="951" t="s">
        <v>234</v>
      </c>
      <c r="L96" s="952"/>
      <c r="M96" s="953" t="str">
        <f t="shared" si="38"/>
        <v>ELHO02</v>
      </c>
      <c r="N96" s="956"/>
      <c r="O96" s="955" t="s">
        <v>1585</v>
      </c>
      <c r="P96" s="900">
        <v>65109670.172771066</v>
      </c>
      <c r="Q96" s="1000">
        <v>72091576.099999994</v>
      </c>
      <c r="R96" s="1001">
        <f>'Tariff Rand Values 2024-25 Actu'!W53</f>
        <v>76512312.92171073</v>
      </c>
      <c r="S96" s="1006">
        <f t="shared" si="39"/>
        <v>85999839.724002868</v>
      </c>
      <c r="T96" s="1003">
        <f t="shared" si="40"/>
        <v>94513823.856679156</v>
      </c>
      <c r="U96" s="1003">
        <f t="shared" si="41"/>
        <v>101309367.7919744</v>
      </c>
      <c r="V96" s="1003">
        <f t="shared" si="42"/>
        <v>103842101.98677374</v>
      </c>
      <c r="W96" s="342" t="str">
        <f>CONCATENATE($W$95,N96,M96)</f>
        <v>Exchange Revenue:  Service Charges - Electricity:  Sales - Industrial (400 Volts) (Low Voltage)ELHO02</v>
      </c>
      <c r="X96" s="189"/>
      <c r="Y96" s="37"/>
    </row>
    <row r="97" spans="1:29" ht="16.5" customHeight="1" outlineLevel="3" x14ac:dyDescent="0.35">
      <c r="A97" s="912">
        <v>14</v>
      </c>
      <c r="B97" s="913">
        <v>7</v>
      </c>
      <c r="C97" s="914">
        <v>1</v>
      </c>
      <c r="D97" s="913">
        <v>32</v>
      </c>
      <c r="E97" s="915" t="s">
        <v>230</v>
      </c>
      <c r="F97" s="915" t="s">
        <v>1746</v>
      </c>
      <c r="G97" s="915" t="s">
        <v>1495</v>
      </c>
      <c r="H97" s="915" t="s">
        <v>1496</v>
      </c>
      <c r="I97" s="915" t="s">
        <v>1497</v>
      </c>
      <c r="J97" s="915" t="s">
        <v>136</v>
      </c>
      <c r="K97" s="916" t="s">
        <v>234</v>
      </c>
      <c r="L97" s="917"/>
      <c r="M97" s="1112" t="str">
        <f>RIGHT(O97,12)</f>
        <v>BASIC CHARGE</v>
      </c>
      <c r="N97" s="919" t="s">
        <v>478</v>
      </c>
      <c r="O97" s="920" t="s">
        <v>1586</v>
      </c>
      <c r="P97" s="921">
        <v>5813877.2985950764</v>
      </c>
      <c r="Q97" s="1007">
        <v>4784714.2300000004</v>
      </c>
      <c r="R97" s="1010">
        <f>'Tariff Rand Values 2024-25 Actu'!V48+'Tariff Rand Values 2024-25 Actu'!W48</f>
        <v>7028663.4000000004</v>
      </c>
      <c r="S97" s="1009">
        <f>'Tariff Rand Values 2025-26'!I48</f>
        <v>7899983.9782250673</v>
      </c>
      <c r="T97" s="1010">
        <f>'Tariff Rand Values 2026-27'!I52</f>
        <v>8682082.3920693491</v>
      </c>
      <c r="U97" s="1010">
        <f t="shared" si="41"/>
        <v>9306324.1160591356</v>
      </c>
      <c r="V97" s="1003">
        <f t="shared" si="42"/>
        <v>9538982.218960613</v>
      </c>
      <c r="W97" s="891" t="s">
        <v>141</v>
      </c>
      <c r="X97" s="892" t="s">
        <v>1914</v>
      </c>
      <c r="Y97" s="893"/>
    </row>
    <row r="98" spans="1:29" ht="16.5" customHeight="1" outlineLevel="3" x14ac:dyDescent="0.35">
      <c r="A98" s="174">
        <v>14</v>
      </c>
      <c r="B98" s="34">
        <v>7</v>
      </c>
      <c r="C98" s="36">
        <v>1</v>
      </c>
      <c r="D98" s="34">
        <v>32</v>
      </c>
      <c r="E98" s="283" t="s">
        <v>230</v>
      </c>
      <c r="F98" s="283" t="s">
        <v>151</v>
      </c>
      <c r="G98" s="283" t="s">
        <v>1495</v>
      </c>
      <c r="H98" s="283" t="s">
        <v>1496</v>
      </c>
      <c r="I98" s="283" t="s">
        <v>1497</v>
      </c>
      <c r="J98" s="283" t="s">
        <v>136</v>
      </c>
      <c r="K98" s="33" t="s">
        <v>234</v>
      </c>
      <c r="L98" s="175"/>
      <c r="M98" s="940" t="str">
        <f>RIGHT(O98,13)</f>
        <v>ACCESS CHARGE</v>
      </c>
      <c r="N98" s="940"/>
      <c r="O98" s="941" t="s">
        <v>1587</v>
      </c>
      <c r="P98" s="942">
        <v>77422847.447065756</v>
      </c>
      <c r="Q98" s="1012">
        <v>90377656.129999995</v>
      </c>
      <c r="R98" s="1014">
        <f>'Tariff Rand Values 2024-25 Actu'!V49+'Tariff Rand Values 2024-25 Actu'!W49</f>
        <v>93305741.852279112</v>
      </c>
      <c r="S98" s="1013">
        <f t="shared" si="39"/>
        <v>104875653.84196173</v>
      </c>
      <c r="T98" s="1014">
        <f t="shared" si="40"/>
        <v>115258343.57231593</v>
      </c>
      <c r="U98" s="1014">
        <f t="shared" si="41"/>
        <v>123545418.47516546</v>
      </c>
      <c r="V98" s="1003">
        <f t="shared" si="42"/>
        <v>126634053.93704458</v>
      </c>
      <c r="W98" s="340"/>
      <c r="X98" s="188"/>
      <c r="Y98" s="37"/>
    </row>
    <row r="99" spans="1:29" ht="16.5" customHeight="1" outlineLevel="3" x14ac:dyDescent="0.35">
      <c r="A99" s="174">
        <v>14</v>
      </c>
      <c r="B99" s="34">
        <v>7</v>
      </c>
      <c r="C99" s="36">
        <v>1</v>
      </c>
      <c r="D99" s="34">
        <v>32</v>
      </c>
      <c r="E99" s="283" t="s">
        <v>230</v>
      </c>
      <c r="F99" s="283" t="s">
        <v>1717</v>
      </c>
      <c r="G99" s="283" t="s">
        <v>1495</v>
      </c>
      <c r="H99" s="283" t="s">
        <v>1496</v>
      </c>
      <c r="I99" s="283" t="s">
        <v>1497</v>
      </c>
      <c r="J99" s="283" t="s">
        <v>136</v>
      </c>
      <c r="K99" s="33" t="s">
        <v>234</v>
      </c>
      <c r="L99" s="175"/>
      <c r="M99" s="940" t="str">
        <f t="shared" ref="M99:M109" si="43">RIGHT(O99,6)</f>
        <v>ELK002</v>
      </c>
      <c r="N99" s="940" t="s">
        <v>478</v>
      </c>
      <c r="O99" s="941" t="s">
        <v>1606</v>
      </c>
      <c r="P99" s="942">
        <v>168235563.01930878</v>
      </c>
      <c r="Q99" s="1012">
        <v>202287485.66999999</v>
      </c>
      <c r="R99" s="1014">
        <f>'Tariff Rand Values 2024-25 Actu'!V50+'Tariff Rand Values 2024-25 Actu'!W50</f>
        <v>204327162.77203035</v>
      </c>
      <c r="S99" s="1013">
        <f>R99*(1+$S$2)</f>
        <v>229663730.95576215</v>
      </c>
      <c r="T99" s="1014">
        <f t="shared" si="40"/>
        <v>252400440.3203826</v>
      </c>
      <c r="U99" s="1014">
        <f t="shared" si="41"/>
        <v>270548031.9794181</v>
      </c>
      <c r="V99" s="1003">
        <f t="shared" si="42"/>
        <v>277311732.77890354</v>
      </c>
      <c r="W99" s="340" t="str">
        <f>CONCATENATE($W$97,N99,M99)</f>
        <v>Exchange Revenue:  Service Charges - Electricity:  Sales - Domestic High:  Prepaid ELK002</v>
      </c>
      <c r="X99" s="188"/>
      <c r="Y99" s="37"/>
    </row>
    <row r="100" spans="1:29" s="39" customFormat="1" ht="16.5" customHeight="1" outlineLevel="3" x14ac:dyDescent="0.35">
      <c r="A100" s="174"/>
      <c r="B100" s="34"/>
      <c r="C100" s="36"/>
      <c r="D100" s="34"/>
      <c r="E100" s="283"/>
      <c r="F100" s="283"/>
      <c r="G100" s="283"/>
      <c r="H100" s="283"/>
      <c r="I100" s="283"/>
      <c r="J100" s="283"/>
      <c r="K100" s="33"/>
      <c r="L100" s="173"/>
      <c r="M100" s="839"/>
      <c r="N100" s="314"/>
      <c r="O100" s="902" t="s">
        <v>1543</v>
      </c>
      <c r="P100" s="895"/>
      <c r="Q100" s="1116"/>
      <c r="R100" s="1004"/>
      <c r="S100" s="1005"/>
      <c r="T100" s="999"/>
      <c r="U100" s="999"/>
      <c r="V100" s="999"/>
      <c r="W100" s="335"/>
      <c r="X100" s="241"/>
      <c r="Z100"/>
      <c r="AA100" s="1061">
        <f>SUM(S101:S109)</f>
        <v>439929284.93829846</v>
      </c>
      <c r="AB100" s="39">
        <f>'Tariff Rand Values 2025-26'!I54</f>
        <v>439929284.9382984</v>
      </c>
      <c r="AC100" s="981">
        <f>AA100-AB100</f>
        <v>0</v>
      </c>
    </row>
    <row r="101" spans="1:29" ht="16.5" customHeight="1" outlineLevel="3" x14ac:dyDescent="0.35">
      <c r="A101" s="947">
        <v>14</v>
      </c>
      <c r="B101" s="948">
        <v>7</v>
      </c>
      <c r="C101" s="949">
        <v>1</v>
      </c>
      <c r="D101" s="948">
        <v>32</v>
      </c>
      <c r="E101" s="950" t="s">
        <v>229</v>
      </c>
      <c r="F101" s="950" t="s">
        <v>148</v>
      </c>
      <c r="G101" s="950" t="s">
        <v>1495</v>
      </c>
      <c r="H101" s="950" t="s">
        <v>1496</v>
      </c>
      <c r="I101" s="950" t="s">
        <v>1497</v>
      </c>
      <c r="J101" s="950" t="s">
        <v>136</v>
      </c>
      <c r="K101" s="951" t="s">
        <v>234</v>
      </c>
      <c r="L101" s="952"/>
      <c r="M101" s="953" t="str">
        <f t="shared" si="43"/>
        <v>ELP003</v>
      </c>
      <c r="N101" s="956" t="s">
        <v>478</v>
      </c>
      <c r="O101" s="955" t="s">
        <v>1604</v>
      </c>
      <c r="P101" s="900">
        <v>43094110.088145331</v>
      </c>
      <c r="Q101" s="1000">
        <v>33416271.48</v>
      </c>
      <c r="R101" s="1001">
        <f>'Tariff Rand Values 2024-25 Actu'!V58</f>
        <v>34682483.302241065</v>
      </c>
      <c r="S101" s="1006">
        <f t="shared" ref="S101:S108" si="44">R101*(1+$S$2)</f>
        <v>38983111.231718957</v>
      </c>
      <c r="T101" s="1003">
        <f t="shared" ref="T101:T109" si="45">S101*(1+$T$2)</f>
        <v>42842439.243659131</v>
      </c>
      <c r="U101" s="1003">
        <f t="shared" ref="U101:U104" si="46">T101*(1+$U$2)</f>
        <v>45922810.625278227</v>
      </c>
      <c r="V101" s="1003">
        <f t="shared" ref="V101:V109" si="47">U101*(1+$V$2)</f>
        <v>47070880.890910178</v>
      </c>
      <c r="W101" s="340" t="str">
        <f t="shared" ref="W101:W107" si="48">CONCATENATE($W$39,N101,M101)</f>
        <v>Exchange Revenue:  Service Charges - Electricity:  Sales - Domestic High:  Home power Bulk ELP003</v>
      </c>
      <c r="X101" s="188"/>
      <c r="Y101" s="37"/>
    </row>
    <row r="102" spans="1:29" ht="16.5" customHeight="1" outlineLevel="3" x14ac:dyDescent="0.35">
      <c r="A102" s="947">
        <v>14</v>
      </c>
      <c r="B102" s="948">
        <v>7</v>
      </c>
      <c r="C102" s="949">
        <v>1</v>
      </c>
      <c r="D102" s="948">
        <v>32</v>
      </c>
      <c r="E102" s="950" t="s">
        <v>229</v>
      </c>
      <c r="F102" s="950" t="s">
        <v>149</v>
      </c>
      <c r="G102" s="950" t="s">
        <v>1495</v>
      </c>
      <c r="H102" s="950" t="s">
        <v>1496</v>
      </c>
      <c r="I102" s="950" t="s">
        <v>1497</v>
      </c>
      <c r="J102" s="950" t="s">
        <v>136</v>
      </c>
      <c r="K102" s="951" t="s">
        <v>234</v>
      </c>
      <c r="L102" s="952"/>
      <c r="M102" s="953" t="str">
        <f t="shared" si="43"/>
        <v>ELS003</v>
      </c>
      <c r="N102" s="956" t="s">
        <v>478</v>
      </c>
      <c r="O102" s="955" t="s">
        <v>1602</v>
      </c>
      <c r="P102" s="900">
        <v>67779851.68102254</v>
      </c>
      <c r="Q102" s="1000">
        <v>54928223.93</v>
      </c>
      <c r="R102" s="1001">
        <f>'Tariff Rand Values 2024-25 Actu'!V59</f>
        <v>56902339.65125405</v>
      </c>
      <c r="S102" s="1006">
        <f t="shared" si="44"/>
        <v>63958229.768009558</v>
      </c>
      <c r="T102" s="1003">
        <f t="shared" si="45"/>
        <v>70290094.515042499</v>
      </c>
      <c r="U102" s="1003">
        <f t="shared" si="46"/>
        <v>75343952.310674056</v>
      </c>
      <c r="V102" s="1003">
        <f t="shared" si="47"/>
        <v>77227551.118440896</v>
      </c>
      <c r="W102" s="340" t="str">
        <f t="shared" si="48"/>
        <v>Exchange Revenue:  Service Charges - Electricity:  Sales - Domestic High:  Home power Bulk ELS003</v>
      </c>
      <c r="X102" s="188"/>
      <c r="Y102" s="37"/>
    </row>
    <row r="103" spans="1:29" ht="16.5" customHeight="1" outlineLevel="3" x14ac:dyDescent="0.35">
      <c r="A103" s="947">
        <v>14</v>
      </c>
      <c r="B103" s="948">
        <v>7</v>
      </c>
      <c r="C103" s="949">
        <v>1</v>
      </c>
      <c r="D103" s="948">
        <v>32</v>
      </c>
      <c r="E103" s="950" t="s">
        <v>229</v>
      </c>
      <c r="F103" s="950" t="s">
        <v>150</v>
      </c>
      <c r="G103" s="950" t="s">
        <v>1495</v>
      </c>
      <c r="H103" s="950" t="s">
        <v>1496</v>
      </c>
      <c r="I103" s="950" t="s">
        <v>1497</v>
      </c>
      <c r="J103" s="950" t="s">
        <v>136</v>
      </c>
      <c r="K103" s="951" t="s">
        <v>234</v>
      </c>
      <c r="L103" s="952"/>
      <c r="M103" s="953" t="str">
        <f t="shared" si="43"/>
        <v>ELO003</v>
      </c>
      <c r="N103" s="956" t="s">
        <v>478</v>
      </c>
      <c r="O103" s="955" t="s">
        <v>1603</v>
      </c>
      <c r="P103" s="900">
        <v>50177707.399466515</v>
      </c>
      <c r="Q103" s="1000">
        <v>46859230.579999998</v>
      </c>
      <c r="R103" s="1001">
        <f>'Tariff Rand Values 2024-25 Actu'!V60</f>
        <v>48651318.082316108</v>
      </c>
      <c r="S103" s="1006">
        <f t="shared" si="44"/>
        <v>54684081.52452331</v>
      </c>
      <c r="T103" s="1003">
        <f t="shared" si="45"/>
        <v>60097805.595451117</v>
      </c>
      <c r="U103" s="1003">
        <f t="shared" si="46"/>
        <v>64418837.817764059</v>
      </c>
      <c r="V103" s="1003">
        <f t="shared" si="47"/>
        <v>66029308.763208151</v>
      </c>
      <c r="W103" s="340" t="str">
        <f t="shared" si="48"/>
        <v>Exchange Revenue:  Service Charges - Electricity:  Sales - Domestic High:  Home power Bulk ELO003</v>
      </c>
      <c r="X103" s="188"/>
      <c r="Y103" s="37"/>
    </row>
    <row r="104" spans="1:29" ht="16.5" customHeight="1" outlineLevel="3" x14ac:dyDescent="0.35">
      <c r="A104" s="947">
        <v>14</v>
      </c>
      <c r="B104" s="948">
        <v>7</v>
      </c>
      <c r="C104" s="949">
        <v>1</v>
      </c>
      <c r="D104" s="948">
        <v>32</v>
      </c>
      <c r="E104" s="950" t="s">
        <v>229</v>
      </c>
      <c r="F104" s="950" t="s">
        <v>145</v>
      </c>
      <c r="G104" s="950" t="s">
        <v>1495</v>
      </c>
      <c r="H104" s="950" t="s">
        <v>1496</v>
      </c>
      <c r="I104" s="950" t="s">
        <v>1497</v>
      </c>
      <c r="J104" s="950" t="s">
        <v>136</v>
      </c>
      <c r="K104" s="951" t="s">
        <v>234</v>
      </c>
      <c r="L104" s="952"/>
      <c r="M104" s="953" t="str">
        <f t="shared" si="43"/>
        <v>ELHPO3</v>
      </c>
      <c r="N104" s="956" t="s">
        <v>478</v>
      </c>
      <c r="O104" s="955" t="s">
        <v>1512</v>
      </c>
      <c r="P104" s="900">
        <v>21931256.893141136</v>
      </c>
      <c r="Q104" s="1000">
        <v>24519365.949999999</v>
      </c>
      <c r="R104" s="1001">
        <f>'Tariff Rand Values 2024-25 Actu'!W58</f>
        <v>26636919.649046578</v>
      </c>
      <c r="S104" s="1006">
        <f t="shared" si="44"/>
        <v>29939897.685528357</v>
      </c>
      <c r="T104" s="1003">
        <f t="shared" si="45"/>
        <v>32903947.556395665</v>
      </c>
      <c r="U104" s="1003">
        <f t="shared" si="46"/>
        <v>35269741.385700516</v>
      </c>
      <c r="V104" s="1003">
        <f t="shared" si="47"/>
        <v>36151484.920343027</v>
      </c>
      <c r="W104" s="340" t="str">
        <f t="shared" si="48"/>
        <v>Exchange Revenue:  Service Charges - Electricity:  Sales - Domestic High:  Home power Bulk ELHPO3</v>
      </c>
      <c r="X104" s="188"/>
      <c r="Y104" s="37"/>
    </row>
    <row r="105" spans="1:29" ht="16.5" customHeight="1" outlineLevel="3" x14ac:dyDescent="0.35">
      <c r="A105" s="947">
        <v>14</v>
      </c>
      <c r="B105" s="948">
        <v>7</v>
      </c>
      <c r="C105" s="949">
        <v>1</v>
      </c>
      <c r="D105" s="948">
        <v>32</v>
      </c>
      <c r="E105" s="950" t="s">
        <v>229</v>
      </c>
      <c r="F105" s="950" t="s">
        <v>146</v>
      </c>
      <c r="G105" s="950" t="s">
        <v>1495</v>
      </c>
      <c r="H105" s="950" t="s">
        <v>1496</v>
      </c>
      <c r="I105" s="950" t="s">
        <v>1497</v>
      </c>
      <c r="J105" s="950" t="s">
        <v>136</v>
      </c>
      <c r="K105" s="951" t="s">
        <v>234</v>
      </c>
      <c r="L105" s="952"/>
      <c r="M105" s="953" t="str">
        <f t="shared" si="43"/>
        <v>ELHS03</v>
      </c>
      <c r="N105" s="956" t="s">
        <v>478</v>
      </c>
      <c r="O105" s="955" t="s">
        <v>1588</v>
      </c>
      <c r="P105" s="900">
        <v>27712004.644555621</v>
      </c>
      <c r="Q105" s="1000">
        <v>29918112.100000001</v>
      </c>
      <c r="R105" s="1001">
        <f>'Tariff Rand Values 2024-25 Actu'!W59</f>
        <v>31664158.275820628</v>
      </c>
      <c r="S105" s="1006">
        <f t="shared" si="44"/>
        <v>35590513.902022392</v>
      </c>
      <c r="T105" s="1003">
        <f t="shared" si="45"/>
        <v>39113974.778322607</v>
      </c>
      <c r="U105" s="1003">
        <f t="shared" ref="U105:U109" si="49">T105*(1+$U$2)</f>
        <v>41926269.564884007</v>
      </c>
      <c r="V105" s="1003">
        <f t="shared" si="47"/>
        <v>42974426.3040061</v>
      </c>
      <c r="W105" s="340" t="str">
        <f t="shared" si="48"/>
        <v>Exchange Revenue:  Service Charges - Electricity:  Sales - Domestic High:  Home power Bulk ELHS03</v>
      </c>
      <c r="X105" s="188"/>
      <c r="Y105" s="37"/>
    </row>
    <row r="106" spans="1:29" ht="16.5" customHeight="1" outlineLevel="3" x14ac:dyDescent="0.35">
      <c r="A106" s="947">
        <v>14</v>
      </c>
      <c r="B106" s="948">
        <v>7</v>
      </c>
      <c r="C106" s="949">
        <v>1</v>
      </c>
      <c r="D106" s="948">
        <v>32</v>
      </c>
      <c r="E106" s="950" t="s">
        <v>229</v>
      </c>
      <c r="F106" s="950" t="s">
        <v>147</v>
      </c>
      <c r="G106" s="950" t="s">
        <v>1495</v>
      </c>
      <c r="H106" s="950" t="s">
        <v>1496</v>
      </c>
      <c r="I106" s="950" t="s">
        <v>1497</v>
      </c>
      <c r="J106" s="950" t="s">
        <v>136</v>
      </c>
      <c r="K106" s="951" t="s">
        <v>234</v>
      </c>
      <c r="L106" s="952"/>
      <c r="M106" s="953" t="str">
        <f t="shared" si="43"/>
        <v>ELHO03</v>
      </c>
      <c r="N106" s="956" t="s">
        <v>478</v>
      </c>
      <c r="O106" s="955" t="s">
        <v>1600</v>
      </c>
      <c r="P106" s="900">
        <v>21626224.640817862</v>
      </c>
      <c r="Q106" s="1000">
        <v>24844690.649999999</v>
      </c>
      <c r="R106" s="1001">
        <f>'Tariff Rand Values 2024-25 Actu'!W60</f>
        <v>25757272.225279544</v>
      </c>
      <c r="S106" s="1006">
        <f t="shared" si="44"/>
        <v>28951173.98121421</v>
      </c>
      <c r="T106" s="1003">
        <f t="shared" si="45"/>
        <v>31817340.205354415</v>
      </c>
      <c r="U106" s="1003">
        <f t="shared" si="49"/>
        <v>34105006.966119401</v>
      </c>
      <c r="V106" s="1003">
        <f t="shared" si="47"/>
        <v>34957632.140272386</v>
      </c>
      <c r="W106" s="340" t="str">
        <f t="shared" si="48"/>
        <v>Exchange Revenue:  Service Charges - Electricity:  Sales - Domestic High:  Home power Bulk ELHO03</v>
      </c>
      <c r="X106" s="188"/>
      <c r="Y106" s="37"/>
    </row>
    <row r="107" spans="1:29" ht="16.5" customHeight="1" outlineLevel="3" x14ac:dyDescent="0.35">
      <c r="A107" s="912">
        <v>14</v>
      </c>
      <c r="B107" s="913">
        <v>7</v>
      </c>
      <c r="C107" s="914">
        <v>1</v>
      </c>
      <c r="D107" s="913">
        <v>32</v>
      </c>
      <c r="E107" s="915" t="s">
        <v>230</v>
      </c>
      <c r="F107" s="915" t="s">
        <v>1751</v>
      </c>
      <c r="G107" s="915" t="s">
        <v>1495</v>
      </c>
      <c r="H107" s="915" t="s">
        <v>1496</v>
      </c>
      <c r="I107" s="915" t="s">
        <v>1497</v>
      </c>
      <c r="J107" s="915" t="s">
        <v>136</v>
      </c>
      <c r="K107" s="916" t="s">
        <v>234</v>
      </c>
      <c r="L107" s="917"/>
      <c r="M107" s="1112" t="str">
        <f>RIGHT(O107,12)</f>
        <v>BASIC CHARGE</v>
      </c>
      <c r="N107" s="919"/>
      <c r="O107" s="920" t="s">
        <v>1605</v>
      </c>
      <c r="P107" s="921">
        <v>15947961.268585214</v>
      </c>
      <c r="Q107" s="1007">
        <v>7210848.0499999998</v>
      </c>
      <c r="R107" s="1010">
        <f>'Tariff Rand Values 2024-25 Actu'!V55+'Tariff Rand Values 2024-25 Actu'!W55</f>
        <v>22313652.479999997</v>
      </c>
      <c r="S107" s="1009">
        <f>'Tariff Rand Values 2025-26'!I55</f>
        <v>20563913.488349769</v>
      </c>
      <c r="T107" s="1010">
        <f>'Tariff Rand Values 2026-27'!I59</f>
        <v>25470851.385871988</v>
      </c>
      <c r="U107" s="1010">
        <f t="shared" si="49"/>
        <v>27302205.600516185</v>
      </c>
      <c r="V107" s="1003">
        <f t="shared" si="47"/>
        <v>27984760.740529086</v>
      </c>
      <c r="W107" s="891" t="str">
        <f t="shared" si="48"/>
        <v>Exchange Revenue:  Service Charges - Electricity:  Sales - Domestic High:  Home power BulkBASIC CHARGE</v>
      </c>
      <c r="X107" s="892"/>
      <c r="Y107" s="893"/>
    </row>
    <row r="108" spans="1:29" ht="16.5" customHeight="1" outlineLevel="3" x14ac:dyDescent="0.35">
      <c r="A108" s="174">
        <v>14</v>
      </c>
      <c r="B108" s="34">
        <v>7</v>
      </c>
      <c r="C108" s="36">
        <v>1</v>
      </c>
      <c r="D108" s="34">
        <v>32</v>
      </c>
      <c r="E108" s="283" t="s">
        <v>229</v>
      </c>
      <c r="F108" s="283" t="s">
        <v>144</v>
      </c>
      <c r="G108" s="283" t="s">
        <v>1495</v>
      </c>
      <c r="H108" s="283" t="s">
        <v>1496</v>
      </c>
      <c r="I108" s="283" t="s">
        <v>1497</v>
      </c>
      <c r="J108" s="283" t="s">
        <v>136</v>
      </c>
      <c r="K108" s="33" t="s">
        <v>234</v>
      </c>
      <c r="L108" s="175"/>
      <c r="M108" s="940" t="str">
        <f>RIGHT(O108,13)</f>
        <v>ACCESS CHARGE</v>
      </c>
      <c r="N108" s="940"/>
      <c r="O108" s="941" t="s">
        <v>1601</v>
      </c>
      <c r="P108" s="942">
        <v>46391455.697985388</v>
      </c>
      <c r="Q108" s="1012">
        <v>46825936.219999999</v>
      </c>
      <c r="R108" s="1014">
        <f>'Tariff Rand Values 2024-25 Actu'!V56+'Tariff Rand Values 2024-25 Actu'!W56</f>
        <v>48877670.903448924</v>
      </c>
      <c r="S108" s="1013">
        <f t="shared" si="44"/>
        <v>54938502.095476598</v>
      </c>
      <c r="T108" s="1014">
        <f t="shared" si="45"/>
        <v>60377413.802928783</v>
      </c>
      <c r="U108" s="1014">
        <f t="shared" si="49"/>
        <v>64718549.855359368</v>
      </c>
      <c r="V108" s="1003">
        <f t="shared" si="47"/>
        <v>66336513.601743348</v>
      </c>
      <c r="W108" s="340"/>
      <c r="X108" s="188"/>
      <c r="Y108" s="37"/>
    </row>
    <row r="109" spans="1:29" ht="16.5" customHeight="1" outlineLevel="3" x14ac:dyDescent="0.35">
      <c r="A109" s="174">
        <v>14</v>
      </c>
      <c r="B109" s="34">
        <v>7</v>
      </c>
      <c r="C109" s="36">
        <v>1</v>
      </c>
      <c r="D109" s="34">
        <v>32</v>
      </c>
      <c r="E109" s="283" t="s">
        <v>229</v>
      </c>
      <c r="F109" s="283" t="s">
        <v>155</v>
      </c>
      <c r="G109" s="283" t="s">
        <v>1495</v>
      </c>
      <c r="H109" s="283" t="s">
        <v>1496</v>
      </c>
      <c r="I109" s="283" t="s">
        <v>1497</v>
      </c>
      <c r="J109" s="283" t="s">
        <v>136</v>
      </c>
      <c r="K109" s="33" t="s">
        <v>234</v>
      </c>
      <c r="L109" s="175"/>
      <c r="M109" s="940" t="str">
        <f t="shared" si="43"/>
        <v>ELK003</v>
      </c>
      <c r="N109" s="940" t="s">
        <v>478</v>
      </c>
      <c r="O109" s="941" t="s">
        <v>1589</v>
      </c>
      <c r="P109" s="942">
        <v>99408761.05832845</v>
      </c>
      <c r="Q109" s="1012">
        <v>104949329.43000001</v>
      </c>
      <c r="R109" s="1014">
        <f>'Tariff Rand Values 2024-25 Actu'!V57+'Tariff Rand Values 2024-25 Actu'!W57</f>
        <v>99928702.189906836</v>
      </c>
      <c r="S109" s="1013">
        <f>R109*(1+$S$2)</f>
        <v>112319861.2614553</v>
      </c>
      <c r="T109" s="1014">
        <f t="shared" si="45"/>
        <v>123439527.52633937</v>
      </c>
      <c r="U109" s="1014">
        <f t="shared" si="49"/>
        <v>132314829.55548318</v>
      </c>
      <c r="V109" s="1003">
        <f t="shared" si="47"/>
        <v>135622700.29437023</v>
      </c>
      <c r="W109" s="340" t="str">
        <f>CONCATENATE($W$39,N109,M109)</f>
        <v>Exchange Revenue:  Service Charges - Electricity:  Sales - Domestic High:  Home power Bulk ELK003</v>
      </c>
      <c r="X109" s="188"/>
      <c r="Y109" s="37"/>
    </row>
    <row r="110" spans="1:29" s="39" customFormat="1" ht="16.5" customHeight="1" outlineLevel="3" x14ac:dyDescent="0.35">
      <c r="A110" s="174"/>
      <c r="B110" s="34"/>
      <c r="C110" s="36"/>
      <c r="D110" s="34"/>
      <c r="E110" s="283"/>
      <c r="F110" s="283"/>
      <c r="G110" s="283"/>
      <c r="H110" s="283"/>
      <c r="I110" s="283"/>
      <c r="J110" s="283"/>
      <c r="K110" s="33"/>
      <c r="L110" s="173"/>
      <c r="M110" s="839"/>
      <c r="N110" s="314"/>
      <c r="O110" s="902" t="s">
        <v>1932</v>
      </c>
      <c r="P110" s="895"/>
      <c r="Q110" s="1116"/>
      <c r="R110" s="1004"/>
      <c r="S110" s="1005"/>
      <c r="T110" s="999"/>
      <c r="U110" s="999"/>
      <c r="V110" s="999"/>
      <c r="W110" s="335"/>
      <c r="X110" s="241"/>
      <c r="Z110"/>
      <c r="AA110" s="1061">
        <f>SUM(S111:S112)</f>
        <v>133541328.38002914</v>
      </c>
      <c r="AB110" s="39">
        <f>'Tariff Rand Values 2025-26'!I83</f>
        <v>133541328.38002913</v>
      </c>
      <c r="AC110" s="981">
        <f>AA110-AB110</f>
        <v>0</v>
      </c>
    </row>
    <row r="111" spans="1:29" s="260" customFormat="1" ht="16.5" customHeight="1" outlineLevel="3" x14ac:dyDescent="0.35">
      <c r="A111" s="1078">
        <v>14</v>
      </c>
      <c r="B111" s="1079">
        <v>7</v>
      </c>
      <c r="C111" s="1080">
        <v>1</v>
      </c>
      <c r="D111" s="1079">
        <v>32</v>
      </c>
      <c r="E111" s="1081" t="s">
        <v>225</v>
      </c>
      <c r="F111" s="1081" t="s">
        <v>155</v>
      </c>
      <c r="G111" s="1081" t="s">
        <v>1495</v>
      </c>
      <c r="H111" s="1081" t="s">
        <v>1496</v>
      </c>
      <c r="I111" s="1081" t="s">
        <v>1497</v>
      </c>
      <c r="J111" s="1081" t="s">
        <v>136</v>
      </c>
      <c r="K111" s="1082" t="s">
        <v>234</v>
      </c>
      <c r="L111" s="897"/>
      <c r="M111" s="953" t="s">
        <v>1488</v>
      </c>
      <c r="N111" s="956" t="s">
        <v>478</v>
      </c>
      <c r="O111" s="968" t="s">
        <v>1503</v>
      </c>
      <c r="P111" s="900">
        <v>370212.28054248006</v>
      </c>
      <c r="Q111" s="1000">
        <v>1982435.67</v>
      </c>
      <c r="R111" s="1001">
        <f>'Tariff Rand Values 2024-25 Actu'!V83</f>
        <v>88685597.319604635</v>
      </c>
      <c r="S111" s="1002">
        <f>R111*(1+$S$2)</f>
        <v>99682611.387235627</v>
      </c>
      <c r="T111" s="1083">
        <v>0</v>
      </c>
      <c r="U111" s="1083">
        <f>T111*(1+$U$2)</f>
        <v>0</v>
      </c>
      <c r="V111" s="1003">
        <f t="shared" ref="V111:V112" si="50">U111*(1+$V$2)</f>
        <v>0</v>
      </c>
      <c r="W111" s="335" t="s">
        <v>39</v>
      </c>
      <c r="X111" s="242" t="s">
        <v>1915</v>
      </c>
      <c r="Y111" s="1084"/>
      <c r="Z111" s="248"/>
    </row>
    <row r="112" spans="1:29" s="260" customFormat="1" ht="16.5" customHeight="1" outlineLevel="3" x14ac:dyDescent="0.35">
      <c r="A112" s="1078">
        <v>14</v>
      </c>
      <c r="B112" s="1079">
        <v>7</v>
      </c>
      <c r="C112" s="1080">
        <v>1</v>
      </c>
      <c r="D112" s="1079">
        <v>32</v>
      </c>
      <c r="E112" s="1081" t="s">
        <v>225</v>
      </c>
      <c r="F112" s="1081" t="s">
        <v>144</v>
      </c>
      <c r="G112" s="1081" t="s">
        <v>1495</v>
      </c>
      <c r="H112" s="1081" t="s">
        <v>1496</v>
      </c>
      <c r="I112" s="1081" t="s">
        <v>1497</v>
      </c>
      <c r="J112" s="1081" t="s">
        <v>136</v>
      </c>
      <c r="K112" s="1082" t="s">
        <v>234</v>
      </c>
      <c r="L112" s="897"/>
      <c r="M112" s="953" t="s">
        <v>1488</v>
      </c>
      <c r="N112" s="956"/>
      <c r="O112" s="955" t="s">
        <v>1502</v>
      </c>
      <c r="P112" s="900">
        <v>158690.65243966805</v>
      </c>
      <c r="Q112" s="1000">
        <v>125999.64</v>
      </c>
      <c r="R112" s="1001">
        <f>'Tariff Rand Values 2024-25 Actu'!W83</f>
        <v>30123413.694656156</v>
      </c>
      <c r="S112" s="1002">
        <f>R112*(1+$S$2)</f>
        <v>33858716.992793523</v>
      </c>
      <c r="T112" s="1083">
        <v>0</v>
      </c>
      <c r="U112" s="1083">
        <f t="shared" ref="U112:U119" si="51">T112*(1+$U$2)</f>
        <v>0</v>
      </c>
      <c r="V112" s="1003">
        <f t="shared" si="50"/>
        <v>0</v>
      </c>
      <c r="W112" s="335" t="s">
        <v>38</v>
      </c>
      <c r="X112" s="242" t="s">
        <v>1916</v>
      </c>
      <c r="Y112" s="1084"/>
      <c r="Z112" s="248"/>
    </row>
    <row r="113" spans="1:29" s="39" customFormat="1" ht="16.5" customHeight="1" outlineLevel="3" x14ac:dyDescent="0.35">
      <c r="A113" s="174"/>
      <c r="B113" s="34"/>
      <c r="C113" s="36"/>
      <c r="D113" s="34"/>
      <c r="E113" s="283"/>
      <c r="F113" s="283"/>
      <c r="G113" s="283"/>
      <c r="H113" s="283"/>
      <c r="I113" s="283"/>
      <c r="J113" s="283"/>
      <c r="K113" s="33"/>
      <c r="L113" s="173"/>
      <c r="M113" s="840"/>
      <c r="N113" s="314"/>
      <c r="O113" s="903" t="s">
        <v>1545</v>
      </c>
      <c r="P113" s="900"/>
      <c r="Q113" s="1004"/>
      <c r="R113" s="1004"/>
      <c r="S113" s="1005"/>
      <c r="T113" s="999"/>
      <c r="U113" s="999"/>
      <c r="V113" s="999"/>
      <c r="W113" s="335"/>
      <c r="X113" s="241"/>
      <c r="Y113" s="841"/>
      <c r="Z113"/>
      <c r="AA113" s="1061">
        <f>SUM(S114:S119)</f>
        <v>2261646.5637678267</v>
      </c>
      <c r="AB113" s="39">
        <f>'Tariff Rand Values 2025-26'!I77</f>
        <v>2261646.5637678262</v>
      </c>
      <c r="AC113" s="981">
        <f>AA113-AB113</f>
        <v>0</v>
      </c>
    </row>
    <row r="114" spans="1:29" ht="16.5" customHeight="1" outlineLevel="3" x14ac:dyDescent="0.35">
      <c r="A114" s="174">
        <v>14</v>
      </c>
      <c r="B114" s="34">
        <v>7</v>
      </c>
      <c r="C114" s="36">
        <v>1</v>
      </c>
      <c r="D114" s="34">
        <v>32</v>
      </c>
      <c r="E114" s="283" t="s">
        <v>1818</v>
      </c>
      <c r="F114" s="283" t="s">
        <v>146</v>
      </c>
      <c r="G114" s="283" t="s">
        <v>1495</v>
      </c>
      <c r="H114" s="283" t="s">
        <v>1496</v>
      </c>
      <c r="I114" s="283" t="s">
        <v>1497</v>
      </c>
      <c r="J114" s="283" t="s">
        <v>136</v>
      </c>
      <c r="K114" s="33" t="s">
        <v>234</v>
      </c>
      <c r="L114" s="175"/>
      <c r="M114" s="953" t="str">
        <f t="shared" ref="M114:M119" si="52">RIGHT(O114,6)</f>
        <v>CENP01</v>
      </c>
      <c r="N114" s="956" t="s">
        <v>478</v>
      </c>
      <c r="O114" s="955" t="s">
        <v>1591</v>
      </c>
      <c r="P114" s="900">
        <v>226804.29499537038</v>
      </c>
      <c r="Q114" s="1000">
        <v>218872.91</v>
      </c>
      <c r="R114" s="1001">
        <f>'Tariff Rand Values 2024-25 Actu'!V78</f>
        <v>300552.05104059132</v>
      </c>
      <c r="S114" s="1006">
        <f t="shared" ref="S114:S119" si="53">R114*(1+$S$2)</f>
        <v>337820.50536962471</v>
      </c>
      <c r="T114" s="1003">
        <f t="shared" ref="T114:T119" si="54">S114*(1+$T$2)</f>
        <v>371264.73540121753</v>
      </c>
      <c r="U114" s="1083">
        <f t="shared" si="51"/>
        <v>397958.66987656511</v>
      </c>
      <c r="V114" s="1003">
        <f t="shared" ref="V114:V119" si="55">U114*(1+$V$2)</f>
        <v>407907.63662347919</v>
      </c>
      <c r="W114" s="342" t="str">
        <f>CONCATENATE($W$95,N114,M114)</f>
        <v>Exchange Revenue:  Service Charges - Electricity:  Sales - Industrial (400 Volts) (Low Voltage) CENP01</v>
      </c>
      <c r="X114" s="189"/>
      <c r="Y114" s="37"/>
    </row>
    <row r="115" spans="1:29" s="39" customFormat="1" ht="16.5" customHeight="1" outlineLevel="3" x14ac:dyDescent="0.35">
      <c r="A115" s="174">
        <v>14</v>
      </c>
      <c r="B115" s="34">
        <v>7</v>
      </c>
      <c r="C115" s="36">
        <v>1</v>
      </c>
      <c r="D115" s="34">
        <v>32</v>
      </c>
      <c r="E115" s="283" t="s">
        <v>1818</v>
      </c>
      <c r="F115" s="283" t="s">
        <v>147</v>
      </c>
      <c r="G115" s="283" t="s">
        <v>1495</v>
      </c>
      <c r="H115" s="283" t="s">
        <v>1496</v>
      </c>
      <c r="I115" s="283" t="s">
        <v>1497</v>
      </c>
      <c r="J115" s="283" t="s">
        <v>136</v>
      </c>
      <c r="K115" s="636" t="s">
        <v>234</v>
      </c>
      <c r="L115" s="173"/>
      <c r="M115" s="957" t="str">
        <f t="shared" si="52"/>
        <v>CENS01</v>
      </c>
      <c r="N115" s="956" t="s">
        <v>478</v>
      </c>
      <c r="O115" s="955" t="s">
        <v>1517</v>
      </c>
      <c r="P115" s="900">
        <v>344619.25567163888</v>
      </c>
      <c r="Q115" s="1000">
        <v>350543.74</v>
      </c>
      <c r="R115" s="1001">
        <f>'Tariff Rand Values 2024-25 Actu'!V79</f>
        <v>454701.42622950324</v>
      </c>
      <c r="S115" s="1006">
        <f t="shared" si="53"/>
        <v>511084.40308196167</v>
      </c>
      <c r="T115" s="1003">
        <f t="shared" si="54"/>
        <v>561681.75898707588</v>
      </c>
      <c r="U115" s="1083">
        <f t="shared" si="51"/>
        <v>602066.6774582467</v>
      </c>
      <c r="V115" s="1003">
        <f t="shared" si="55"/>
        <v>617118.34439470281</v>
      </c>
      <c r="W115" s="341" t="s">
        <v>54</v>
      </c>
      <c r="X115" s="244" t="s">
        <v>1917</v>
      </c>
      <c r="Y115" s="37"/>
      <c r="Z115"/>
    </row>
    <row r="116" spans="1:29" ht="16.5" customHeight="1" outlineLevel="3" x14ac:dyDescent="0.35">
      <c r="A116" s="174">
        <v>14</v>
      </c>
      <c r="B116" s="34">
        <v>7</v>
      </c>
      <c r="C116" s="36">
        <v>1</v>
      </c>
      <c r="D116" s="34">
        <v>32</v>
      </c>
      <c r="E116" s="283" t="s">
        <v>1818</v>
      </c>
      <c r="F116" s="283" t="s">
        <v>148</v>
      </c>
      <c r="G116" s="283" t="s">
        <v>1495</v>
      </c>
      <c r="H116" s="283" t="s">
        <v>1496</v>
      </c>
      <c r="I116" s="283" t="s">
        <v>1497</v>
      </c>
      <c r="J116" s="283" t="s">
        <v>136</v>
      </c>
      <c r="K116" s="33" t="s">
        <v>234</v>
      </c>
      <c r="L116" s="175"/>
      <c r="M116" s="953" t="str">
        <f t="shared" si="52"/>
        <v>CEN001</v>
      </c>
      <c r="N116" s="956"/>
      <c r="O116" s="955" t="s">
        <v>1592</v>
      </c>
      <c r="P116" s="900">
        <v>275035.62469960417</v>
      </c>
      <c r="Q116" s="1000">
        <v>255025.8</v>
      </c>
      <c r="R116" s="1001">
        <f>'Tariff Rand Values 2024-25 Actu'!V80</f>
        <v>375285.1208136169</v>
      </c>
      <c r="S116" s="1006">
        <f t="shared" si="53"/>
        <v>421820.47579450544</v>
      </c>
      <c r="T116" s="1003">
        <f t="shared" si="54"/>
        <v>463580.70289816149</v>
      </c>
      <c r="U116" s="1083">
        <f t="shared" si="51"/>
        <v>496912.15543653932</v>
      </c>
      <c r="V116" s="1003">
        <f t="shared" si="55"/>
        <v>509334.95932245278</v>
      </c>
      <c r="W116" s="342" t="str">
        <f>CONCATENATE($W$115,N116,M116)</f>
        <v>Exchange Revenue:  Service Charges - Electricity:  Sales - Industrial (11 000 Volts) (High Voltage)CEN001</v>
      </c>
      <c r="X116" s="189"/>
      <c r="Y116" s="37"/>
    </row>
    <row r="117" spans="1:29" ht="16.5" customHeight="1" outlineLevel="3" x14ac:dyDescent="0.35">
      <c r="A117" s="174">
        <v>14</v>
      </c>
      <c r="B117" s="34">
        <v>7</v>
      </c>
      <c r="C117" s="36">
        <v>1</v>
      </c>
      <c r="D117" s="34">
        <v>32</v>
      </c>
      <c r="E117" s="283" t="s">
        <v>1818</v>
      </c>
      <c r="F117" s="283" t="s">
        <v>144</v>
      </c>
      <c r="G117" s="283" t="s">
        <v>1495</v>
      </c>
      <c r="H117" s="283" t="s">
        <v>1496</v>
      </c>
      <c r="I117" s="283" t="s">
        <v>1497</v>
      </c>
      <c r="J117" s="283" t="s">
        <v>136</v>
      </c>
      <c r="K117" s="33" t="s">
        <v>234</v>
      </c>
      <c r="L117" s="175"/>
      <c r="M117" s="953" t="str">
        <f t="shared" si="52"/>
        <v>CNHPO1</v>
      </c>
      <c r="N117" s="956" t="s">
        <v>478</v>
      </c>
      <c r="O117" s="955" t="s">
        <v>1516</v>
      </c>
      <c r="P117" s="900">
        <v>112734.01317673987</v>
      </c>
      <c r="Q117" s="1000">
        <v>346610.38</v>
      </c>
      <c r="R117" s="1001">
        <f>'Tariff Rand Values 2024-25 Actu'!W78</f>
        <v>286418.30004245328</v>
      </c>
      <c r="S117" s="1006">
        <f t="shared" si="53"/>
        <v>321934.16924771754</v>
      </c>
      <c r="T117" s="1003">
        <f t="shared" si="54"/>
        <v>353805.65200324159</v>
      </c>
      <c r="U117" s="1083">
        <f t="shared" si="51"/>
        <v>379244.27838227467</v>
      </c>
      <c r="V117" s="1003">
        <f t="shared" si="55"/>
        <v>388725.38534183148</v>
      </c>
      <c r="W117" s="342" t="str">
        <f>CONCATENATE($W$95,N117,M117)</f>
        <v>Exchange Revenue:  Service Charges - Electricity:  Sales - Industrial (400 Volts) (Low Voltage) CNHPO1</v>
      </c>
      <c r="X117" s="189"/>
      <c r="Y117" s="37"/>
    </row>
    <row r="118" spans="1:29" ht="16.5" customHeight="1" outlineLevel="3" x14ac:dyDescent="0.35">
      <c r="A118" s="174">
        <v>14</v>
      </c>
      <c r="B118" s="34">
        <v>7</v>
      </c>
      <c r="C118" s="36">
        <v>1</v>
      </c>
      <c r="D118" s="34">
        <v>32</v>
      </c>
      <c r="E118" s="283" t="s">
        <v>1818</v>
      </c>
      <c r="F118" s="283" t="s">
        <v>155</v>
      </c>
      <c r="G118" s="283" t="s">
        <v>1495</v>
      </c>
      <c r="H118" s="283" t="s">
        <v>1496</v>
      </c>
      <c r="I118" s="283" t="s">
        <v>1497</v>
      </c>
      <c r="J118" s="283" t="s">
        <v>136</v>
      </c>
      <c r="K118" s="33" t="s">
        <v>234</v>
      </c>
      <c r="L118" s="175"/>
      <c r="M118" s="953" t="str">
        <f t="shared" si="52"/>
        <v>CNHS01</v>
      </c>
      <c r="N118" s="956" t="s">
        <v>478</v>
      </c>
      <c r="O118" s="955" t="s">
        <v>1590</v>
      </c>
      <c r="P118" s="900">
        <v>155650.43131281825</v>
      </c>
      <c r="Q118" s="1000">
        <v>224868.88</v>
      </c>
      <c r="R118" s="1001">
        <f>'Tariff Rand Values 2024-25 Actu'!W79</f>
        <v>338643.32417477173</v>
      </c>
      <c r="S118" s="1006">
        <f t="shared" si="53"/>
        <v>380635.09637244348</v>
      </c>
      <c r="T118" s="1003">
        <f t="shared" si="54"/>
        <v>418317.97091331537</v>
      </c>
      <c r="U118" s="1083">
        <f t="shared" si="51"/>
        <v>448395.03302198276</v>
      </c>
      <c r="V118" s="1003">
        <f t="shared" si="55"/>
        <v>459604.90884753229</v>
      </c>
      <c r="W118" s="342" t="str">
        <f>CONCATENATE($W$95,N118,M118)</f>
        <v>Exchange Revenue:  Service Charges - Electricity:  Sales - Industrial (400 Volts) (Low Voltage) CNHS01</v>
      </c>
      <c r="X118" s="189"/>
      <c r="Y118" s="37"/>
    </row>
    <row r="119" spans="1:29" ht="16.5" customHeight="1" outlineLevel="3" x14ac:dyDescent="0.35">
      <c r="A119" s="174">
        <v>14</v>
      </c>
      <c r="B119" s="34">
        <v>7</v>
      </c>
      <c r="C119" s="36">
        <v>1</v>
      </c>
      <c r="D119" s="34">
        <v>32</v>
      </c>
      <c r="E119" s="283" t="s">
        <v>1818</v>
      </c>
      <c r="F119" s="283" t="s">
        <v>145</v>
      </c>
      <c r="G119" s="283" t="s">
        <v>1495</v>
      </c>
      <c r="H119" s="283" t="s">
        <v>1496</v>
      </c>
      <c r="I119" s="283" t="s">
        <v>1497</v>
      </c>
      <c r="J119" s="283" t="s">
        <v>136</v>
      </c>
      <c r="K119" s="33" t="s">
        <v>234</v>
      </c>
      <c r="L119" s="175"/>
      <c r="M119" s="953" t="str">
        <f t="shared" si="52"/>
        <v>CNHO01</v>
      </c>
      <c r="N119" s="956"/>
      <c r="O119" s="955" t="s">
        <v>1593</v>
      </c>
      <c r="P119" s="900">
        <v>145666.69137713168</v>
      </c>
      <c r="Q119" s="1000">
        <v>267461.96000000002</v>
      </c>
      <c r="R119" s="1001">
        <f>'Tariff Rand Values 2024-25 Actu'!W80</f>
        <v>256540.84866688045</v>
      </c>
      <c r="S119" s="1006">
        <f t="shared" si="53"/>
        <v>288351.91390157369</v>
      </c>
      <c r="T119" s="1003">
        <f t="shared" si="54"/>
        <v>316898.7533778295</v>
      </c>
      <c r="U119" s="1083">
        <f t="shared" si="51"/>
        <v>339683.77374569548</v>
      </c>
      <c r="V119" s="1003">
        <f t="shared" si="55"/>
        <v>348175.86808933783</v>
      </c>
      <c r="W119" s="342" t="str">
        <f>CONCATENATE($W$95,N119,M119)</f>
        <v>Exchange Revenue:  Service Charges - Electricity:  Sales - Industrial (400 Volts) (Low Voltage)CNHO01</v>
      </c>
      <c r="X119" s="189"/>
      <c r="Y119" s="37"/>
    </row>
    <row r="120" spans="1:29" s="39" customFormat="1" ht="16.5" customHeight="1" outlineLevel="3" x14ac:dyDescent="0.35">
      <c r="A120" s="174"/>
      <c r="B120" s="34"/>
      <c r="C120" s="36"/>
      <c r="D120" s="34"/>
      <c r="E120" s="283"/>
      <c r="F120" s="283"/>
      <c r="G120" s="283"/>
      <c r="H120" s="283"/>
      <c r="I120" s="283"/>
      <c r="J120" s="283"/>
      <c r="K120" s="33"/>
      <c r="L120" s="173"/>
      <c r="M120" s="839"/>
      <c r="N120" s="314"/>
      <c r="O120" s="902" t="s">
        <v>1546</v>
      </c>
      <c r="P120" s="895"/>
      <c r="Q120" s="1116"/>
      <c r="R120" s="1004"/>
      <c r="S120" s="1005"/>
      <c r="T120" s="999"/>
      <c r="U120" s="999"/>
      <c r="V120" s="999"/>
      <c r="W120" s="335"/>
      <c r="X120" s="241"/>
      <c r="AA120" s="1061">
        <f>SUM(S121:S126)</f>
        <v>8110085.3501435481</v>
      </c>
      <c r="AB120" s="39">
        <f>'Tariff Rand Values 2025-26'!I73</f>
        <v>8110085.3501435472</v>
      </c>
      <c r="AC120" s="981">
        <f>AA120-AB120</f>
        <v>0</v>
      </c>
    </row>
    <row r="121" spans="1:29" ht="16.5" customHeight="1" outlineLevel="3" x14ac:dyDescent="0.35">
      <c r="A121" s="947">
        <v>14</v>
      </c>
      <c r="B121" s="948">
        <v>7</v>
      </c>
      <c r="C121" s="949">
        <v>1</v>
      </c>
      <c r="D121" s="948">
        <v>32</v>
      </c>
      <c r="E121" s="950" t="s">
        <v>1830</v>
      </c>
      <c r="F121" s="950" t="s">
        <v>146</v>
      </c>
      <c r="G121" s="950" t="s">
        <v>1495</v>
      </c>
      <c r="H121" s="950" t="s">
        <v>1496</v>
      </c>
      <c r="I121" s="950" t="s">
        <v>1497</v>
      </c>
      <c r="J121" s="950" t="s">
        <v>136</v>
      </c>
      <c r="K121" s="951" t="s">
        <v>234</v>
      </c>
      <c r="L121" s="952"/>
      <c r="M121" s="953" t="s">
        <v>489</v>
      </c>
      <c r="N121" s="954" t="s">
        <v>478</v>
      </c>
      <c r="O121" s="955" t="s">
        <v>1594</v>
      </c>
      <c r="P121" s="900">
        <v>1068201.587906264</v>
      </c>
      <c r="Q121" s="1000">
        <v>859951.57</v>
      </c>
      <c r="R121" s="1001">
        <f>'Tariff Rand Values 2024-25 Actu'!V74</f>
        <v>1046234.0315782015</v>
      </c>
      <c r="S121" s="1006">
        <f t="shared" ref="S121:S126" si="56">R121*(1+$S$2)</f>
        <v>1175967.0514938985</v>
      </c>
      <c r="T121" s="1003">
        <f t="shared" ref="T121:T126" si="57">S121*(1+$T$2)</f>
        <v>1292387.7895917944</v>
      </c>
      <c r="U121" s="1003">
        <f>T121*(1+$U$2)</f>
        <v>1385310.4716634445</v>
      </c>
      <c r="V121" s="1003">
        <f t="shared" ref="V121:V126" si="58">U121*(1+$V$2)</f>
        <v>1419943.2334550305</v>
      </c>
      <c r="W121" s="342" t="str">
        <f t="shared" ref="W121:W126" si="59">CONCATENATE($W$115,N121,M121)</f>
        <v>Exchange Revenue:  Service Charges - Electricity:  Sales - Industrial (11 000 Volts) (High Voltage) MSP01</v>
      </c>
      <c r="X121" s="189"/>
      <c r="Y121" s="37"/>
    </row>
    <row r="122" spans="1:29" ht="16.5" customHeight="1" outlineLevel="3" x14ac:dyDescent="0.35">
      <c r="A122" s="947">
        <v>14</v>
      </c>
      <c r="B122" s="948">
        <v>7</v>
      </c>
      <c r="C122" s="949">
        <v>1</v>
      </c>
      <c r="D122" s="948">
        <v>32</v>
      </c>
      <c r="E122" s="950" t="s">
        <v>1830</v>
      </c>
      <c r="F122" s="950" t="s">
        <v>147</v>
      </c>
      <c r="G122" s="950" t="s">
        <v>1495</v>
      </c>
      <c r="H122" s="950" t="s">
        <v>1496</v>
      </c>
      <c r="I122" s="950" t="s">
        <v>1497</v>
      </c>
      <c r="J122" s="950" t="s">
        <v>136</v>
      </c>
      <c r="K122" s="951" t="s">
        <v>234</v>
      </c>
      <c r="L122" s="952"/>
      <c r="M122" s="953" t="s">
        <v>487</v>
      </c>
      <c r="N122" s="954" t="s">
        <v>478</v>
      </c>
      <c r="O122" s="955" t="s">
        <v>1595</v>
      </c>
      <c r="P122" s="900">
        <v>1684303.465916991</v>
      </c>
      <c r="Q122" s="1000">
        <v>1378769.18</v>
      </c>
      <c r="R122" s="1001">
        <f>'Tariff Rand Values 2024-25 Actu'!V75</f>
        <v>1696064.123892674</v>
      </c>
      <c r="S122" s="1006">
        <f t="shared" si="56"/>
        <v>1906376.0752553658</v>
      </c>
      <c r="T122" s="1003">
        <f t="shared" si="57"/>
        <v>2095107.3067056469</v>
      </c>
      <c r="U122" s="1003">
        <f t="shared" ref="U122:U126" si="60">T122*(1+$U$2)</f>
        <v>2245745.5220577829</v>
      </c>
      <c r="V122" s="1003">
        <f t="shared" si="58"/>
        <v>2301889.1601092271</v>
      </c>
      <c r="W122" s="342" t="str">
        <f t="shared" si="59"/>
        <v>Exchange Revenue:  Service Charges - Electricity:  Sales - Industrial (11 000 Volts) (High Voltage) MSS01</v>
      </c>
      <c r="X122" s="189"/>
      <c r="Y122" s="37"/>
    </row>
    <row r="123" spans="1:29" ht="16.5" customHeight="1" outlineLevel="3" x14ac:dyDescent="0.35">
      <c r="A123" s="947">
        <v>14</v>
      </c>
      <c r="B123" s="948">
        <v>7</v>
      </c>
      <c r="C123" s="949">
        <v>1</v>
      </c>
      <c r="D123" s="948">
        <v>32</v>
      </c>
      <c r="E123" s="950" t="s">
        <v>1830</v>
      </c>
      <c r="F123" s="950" t="s">
        <v>148</v>
      </c>
      <c r="G123" s="950" t="s">
        <v>1495</v>
      </c>
      <c r="H123" s="950" t="s">
        <v>1496</v>
      </c>
      <c r="I123" s="950" t="s">
        <v>1497</v>
      </c>
      <c r="J123" s="950" t="s">
        <v>136</v>
      </c>
      <c r="K123" s="951" t="s">
        <v>234</v>
      </c>
      <c r="L123" s="952"/>
      <c r="M123" s="953" t="s">
        <v>480</v>
      </c>
      <c r="N123" s="954" t="s">
        <v>478</v>
      </c>
      <c r="O123" s="955" t="s">
        <v>1597</v>
      </c>
      <c r="P123" s="900">
        <v>1789268.3683093158</v>
      </c>
      <c r="Q123" s="1000">
        <v>1495371.61</v>
      </c>
      <c r="R123" s="1001">
        <f>'Tariff Rand Values 2024-25 Actu'!V76</f>
        <v>1844660.0617128487</v>
      </c>
      <c r="S123" s="1006">
        <f t="shared" si="56"/>
        <v>2073397.9093652421</v>
      </c>
      <c r="T123" s="1003">
        <f t="shared" si="57"/>
        <v>2278664.3023924013</v>
      </c>
      <c r="U123" s="1003">
        <f t="shared" si="60"/>
        <v>2442500.265734415</v>
      </c>
      <c r="V123" s="1003">
        <f t="shared" si="58"/>
        <v>2503562.7723777751</v>
      </c>
      <c r="W123" s="342" t="str">
        <f t="shared" si="59"/>
        <v>Exchange Revenue:  Service Charges - Electricity:  Sales - Industrial (11 000 Volts) (High Voltage) MSO01</v>
      </c>
      <c r="X123" s="189"/>
      <c r="Y123" s="37"/>
    </row>
    <row r="124" spans="1:29" ht="16.5" customHeight="1" outlineLevel="3" x14ac:dyDescent="0.35">
      <c r="A124" s="947">
        <v>14</v>
      </c>
      <c r="B124" s="948">
        <v>7</v>
      </c>
      <c r="C124" s="949">
        <v>1</v>
      </c>
      <c r="D124" s="948">
        <v>32</v>
      </c>
      <c r="E124" s="950" t="s">
        <v>1830</v>
      </c>
      <c r="F124" s="950" t="s">
        <v>144</v>
      </c>
      <c r="G124" s="950" t="s">
        <v>1495</v>
      </c>
      <c r="H124" s="950" t="s">
        <v>1496</v>
      </c>
      <c r="I124" s="950" t="s">
        <v>1497</v>
      </c>
      <c r="J124" s="950" t="s">
        <v>136</v>
      </c>
      <c r="K124" s="951" t="s">
        <v>234</v>
      </c>
      <c r="L124" s="952"/>
      <c r="M124" s="953" t="str">
        <f t="shared" ref="M124:M125" si="61">RIGHT(O124,6)</f>
        <v>MHP001</v>
      </c>
      <c r="N124" s="956" t="s">
        <v>478</v>
      </c>
      <c r="O124" s="955" t="s">
        <v>1596</v>
      </c>
      <c r="P124" s="900">
        <v>439058.99583740986</v>
      </c>
      <c r="Q124" s="1000">
        <v>556974.93999999994</v>
      </c>
      <c r="R124" s="1001">
        <f>'Tariff Rand Values 2024-25 Actu'!W74</f>
        <v>662575.63267859002</v>
      </c>
      <c r="S124" s="1006">
        <f>R124*(1+$S$2)</f>
        <v>744735.01113073528</v>
      </c>
      <c r="T124" s="1003">
        <f t="shared" si="57"/>
        <v>818463.77723267803</v>
      </c>
      <c r="U124" s="1003">
        <f t="shared" si="60"/>
        <v>877311.32281570765</v>
      </c>
      <c r="V124" s="1003">
        <f t="shared" si="58"/>
        <v>899244.10588610021</v>
      </c>
      <c r="W124" s="342" t="str">
        <f t="shared" si="59"/>
        <v>Exchange Revenue:  Service Charges - Electricity:  Sales - Industrial (11 000 Volts) (High Voltage) MHP001</v>
      </c>
      <c r="X124" s="189"/>
      <c r="Y124" s="37"/>
    </row>
    <row r="125" spans="1:29" ht="16.5" customHeight="1" outlineLevel="3" x14ac:dyDescent="0.35">
      <c r="A125" s="947">
        <v>14</v>
      </c>
      <c r="B125" s="948">
        <v>7</v>
      </c>
      <c r="C125" s="949">
        <v>1</v>
      </c>
      <c r="D125" s="948">
        <v>32</v>
      </c>
      <c r="E125" s="950" t="s">
        <v>1830</v>
      </c>
      <c r="F125" s="950" t="s">
        <v>155</v>
      </c>
      <c r="G125" s="950" t="s">
        <v>1495</v>
      </c>
      <c r="H125" s="950" t="s">
        <v>1496</v>
      </c>
      <c r="I125" s="950" t="s">
        <v>1497</v>
      </c>
      <c r="J125" s="950" t="s">
        <v>136</v>
      </c>
      <c r="K125" s="951" t="s">
        <v>234</v>
      </c>
      <c r="L125" s="952"/>
      <c r="M125" s="953" t="str">
        <f t="shared" si="61"/>
        <v>MHS001</v>
      </c>
      <c r="N125" s="956" t="s">
        <v>478</v>
      </c>
      <c r="O125" s="955" t="s">
        <v>1598</v>
      </c>
      <c r="P125" s="900">
        <v>615257.15725518926</v>
      </c>
      <c r="Q125" s="1000">
        <v>775219.92</v>
      </c>
      <c r="R125" s="1001">
        <f>'Tariff Rand Values 2024-25 Actu'!W75</f>
        <v>960106.75842757442</v>
      </c>
      <c r="S125" s="1006">
        <f t="shared" si="56"/>
        <v>1079159.9964725939</v>
      </c>
      <c r="T125" s="1003">
        <f t="shared" si="57"/>
        <v>1185996.8361233806</v>
      </c>
      <c r="U125" s="1003">
        <f t="shared" si="60"/>
        <v>1271270.0086406518</v>
      </c>
      <c r="V125" s="1003">
        <f t="shared" si="58"/>
        <v>1303051.7588566679</v>
      </c>
      <c r="W125" s="342" t="str">
        <f t="shared" si="59"/>
        <v>Exchange Revenue:  Service Charges - Electricity:  Sales - Industrial (11 000 Volts) (High Voltage) MHS001</v>
      </c>
      <c r="X125" s="189"/>
      <c r="Y125" s="37"/>
    </row>
    <row r="126" spans="1:29" ht="16.5" customHeight="1" outlineLevel="3" x14ac:dyDescent="0.35">
      <c r="A126" s="947">
        <v>14</v>
      </c>
      <c r="B126" s="948">
        <v>7</v>
      </c>
      <c r="C126" s="949">
        <v>1</v>
      </c>
      <c r="D126" s="948">
        <v>32</v>
      </c>
      <c r="E126" s="950" t="s">
        <v>1830</v>
      </c>
      <c r="F126" s="950" t="s">
        <v>145</v>
      </c>
      <c r="G126" s="950" t="s">
        <v>1495</v>
      </c>
      <c r="H126" s="950" t="s">
        <v>1496</v>
      </c>
      <c r="I126" s="950" t="s">
        <v>1497</v>
      </c>
      <c r="J126" s="950" t="s">
        <v>136</v>
      </c>
      <c r="K126" s="951" t="s">
        <v>234</v>
      </c>
      <c r="L126" s="952"/>
      <c r="M126" s="953" t="str">
        <f>RIGHT(O126,6)</f>
        <v>MHO001</v>
      </c>
      <c r="N126" s="956" t="s">
        <v>478</v>
      </c>
      <c r="O126" s="955" t="s">
        <v>1599</v>
      </c>
      <c r="P126" s="900">
        <v>721389.63438679546</v>
      </c>
      <c r="Q126" s="1000">
        <v>858247.57</v>
      </c>
      <c r="R126" s="1001">
        <f>'Tariff Rand Values 2024-25 Actu'!W76</f>
        <v>1005737.8171047263</v>
      </c>
      <c r="S126" s="1006">
        <f t="shared" si="56"/>
        <v>1130449.3064257125</v>
      </c>
      <c r="T126" s="1003">
        <f t="shared" si="57"/>
        <v>1242363.787761858</v>
      </c>
      <c r="U126" s="1003">
        <f t="shared" si="60"/>
        <v>1331689.7441019355</v>
      </c>
      <c r="V126" s="1003">
        <f t="shared" si="58"/>
        <v>1364981.9877044838</v>
      </c>
      <c r="W126" s="342" t="str">
        <f t="shared" si="59"/>
        <v>Exchange Revenue:  Service Charges - Electricity:  Sales - Industrial (11 000 Volts) (High Voltage) MHO001</v>
      </c>
      <c r="X126" s="189"/>
      <c r="Y126" s="37"/>
    </row>
    <row r="127" spans="1:29" s="39" customFormat="1" ht="16.5" customHeight="1" outlineLevel="3" x14ac:dyDescent="0.35">
      <c r="A127" s="174"/>
      <c r="B127" s="34"/>
      <c r="C127" s="36"/>
      <c r="D127" s="34"/>
      <c r="E127" s="283"/>
      <c r="F127" s="283"/>
      <c r="G127" s="283"/>
      <c r="H127" s="283"/>
      <c r="I127" s="283"/>
      <c r="J127" s="283"/>
      <c r="K127" s="33"/>
      <c r="L127" s="173"/>
      <c r="M127" s="839"/>
      <c r="N127" s="314"/>
      <c r="O127" s="902"/>
      <c r="P127" s="895"/>
      <c r="Q127" s="1116"/>
      <c r="R127" s="1004"/>
      <c r="S127" s="1005"/>
      <c r="T127" s="999"/>
      <c r="U127" s="999"/>
      <c r="V127" s="999"/>
      <c r="W127" s="335"/>
      <c r="X127" s="241"/>
      <c r="Z127"/>
    </row>
    <row r="128" spans="1:29" s="39" customFormat="1" ht="16.5" customHeight="1" outlineLevel="3" x14ac:dyDescent="0.35">
      <c r="A128" s="174"/>
      <c r="B128" s="34"/>
      <c r="C128" s="36"/>
      <c r="D128" s="34"/>
      <c r="E128" s="283"/>
      <c r="F128" s="283"/>
      <c r="G128" s="283"/>
      <c r="H128" s="283"/>
      <c r="I128" s="283"/>
      <c r="J128" s="283"/>
      <c r="K128" s="33"/>
      <c r="L128" s="173"/>
      <c r="M128" s="943" t="s">
        <v>1488</v>
      </c>
      <c r="N128" s="944" t="s">
        <v>478</v>
      </c>
      <c r="O128" s="946" t="s">
        <v>1930</v>
      </c>
      <c r="P128" s="900">
        <f>Q128-(Q128*Q2)</f>
        <v>268462.06076999998</v>
      </c>
      <c r="Q128" s="1000">
        <v>316209.73</v>
      </c>
      <c r="R128" s="1001">
        <f>'Tariff Rand Values 2024-25 Actu'!V82+'Tariff Rand Values 2024-25 Actu'!W82</f>
        <v>377629.81623147713</v>
      </c>
      <c r="S128" s="1006">
        <f>R128*(1+$S$2)</f>
        <v>424455.91344418033</v>
      </c>
      <c r="T128" s="1003">
        <v>0</v>
      </c>
      <c r="U128" s="1003">
        <f>T128*(1+$U$2)</f>
        <v>0</v>
      </c>
      <c r="V128" s="1003">
        <f>U128*(1+$V$2)</f>
        <v>0</v>
      </c>
      <c r="W128" s="335"/>
      <c r="X128" s="241" t="e">
        <v>#N/A</v>
      </c>
      <c r="Z128"/>
      <c r="AA128" s="1061">
        <f>S128</f>
        <v>424455.91344418033</v>
      </c>
      <c r="AB128" s="39">
        <f>'Tariff Rand Values 2025-26'!I81</f>
        <v>424455.91344418027</v>
      </c>
      <c r="AC128" s="981">
        <f>AA128-AB128</f>
        <v>0</v>
      </c>
    </row>
    <row r="129" spans="1:29" s="39" customFormat="1" ht="16.5" customHeight="1" outlineLevel="3" x14ac:dyDescent="0.35">
      <c r="A129" s="174"/>
      <c r="B129" s="34"/>
      <c r="C129" s="36"/>
      <c r="D129" s="34"/>
      <c r="E129" s="283"/>
      <c r="F129" s="283"/>
      <c r="G129" s="283"/>
      <c r="H129" s="283"/>
      <c r="I129" s="283"/>
      <c r="J129" s="283"/>
      <c r="K129" s="33"/>
      <c r="L129" s="173"/>
      <c r="M129" s="839"/>
      <c r="N129" s="314"/>
      <c r="O129" s="902"/>
      <c r="P129" s="895"/>
      <c r="Q129" s="1116"/>
      <c r="R129" s="1004"/>
      <c r="S129" s="1005"/>
      <c r="T129" s="999"/>
      <c r="U129" s="999"/>
      <c r="V129" s="999"/>
      <c r="W129" s="335"/>
      <c r="X129" s="241"/>
      <c r="Z129"/>
    </row>
    <row r="130" spans="1:29" s="260" customFormat="1" ht="16.5" customHeight="1" outlineLevel="3" x14ac:dyDescent="0.35">
      <c r="A130" s="1066"/>
      <c r="B130" s="1067"/>
      <c r="C130" s="1068"/>
      <c r="D130" s="1067"/>
      <c r="E130" s="1069"/>
      <c r="F130" s="1069"/>
      <c r="G130" s="1069"/>
      <c r="H130" s="1069"/>
      <c r="I130" s="1069"/>
      <c r="J130" s="1069"/>
      <c r="K130" s="1070"/>
      <c r="L130" s="1071"/>
      <c r="M130" s="1072" t="s">
        <v>485</v>
      </c>
      <c r="N130" s="1073"/>
      <c r="O130" s="1074" t="s">
        <v>1931</v>
      </c>
      <c r="P130" s="1064"/>
      <c r="Q130" s="1065">
        <v>117449370.48</v>
      </c>
      <c r="R130" s="1075">
        <f>'Tariff Rand Values 2024-25 Actu'!V85+'Tariff Rand Values 2024-25 Actu'!W85</f>
        <v>131960270.47</v>
      </c>
      <c r="S130" s="1076">
        <f>R130*(1+$S$2)</f>
        <v>148323344.00828001</v>
      </c>
      <c r="T130" s="1077">
        <f>S130*(1+$T$2)</f>
        <v>163007355.06509972</v>
      </c>
      <c r="U130" s="1077">
        <f>T130*(1+$U$2)</f>
        <v>174727583.8942804</v>
      </c>
      <c r="V130" s="1077">
        <f>U130*(1+$V$2)</f>
        <v>179095773.49163741</v>
      </c>
      <c r="W130" s="335"/>
      <c r="X130" s="241" t="e">
        <v>#N/A</v>
      </c>
      <c r="Z130"/>
      <c r="AA130" s="1061">
        <f>S130</f>
        <v>148323344.00828001</v>
      </c>
      <c r="AB130" s="39">
        <f>'Tariff Rand Values 2025-26'!I85</f>
        <v>148323344.00828001</v>
      </c>
      <c r="AC130" s="981">
        <f>AA130-AB130</f>
        <v>0</v>
      </c>
    </row>
    <row r="131" spans="1:29" s="39" customFormat="1" ht="16.5" customHeight="1" outlineLevel="3" x14ac:dyDescent="0.35">
      <c r="A131" s="174"/>
      <c r="B131" s="34"/>
      <c r="C131" s="36"/>
      <c r="D131" s="34"/>
      <c r="E131" s="283"/>
      <c r="F131" s="283"/>
      <c r="G131" s="283"/>
      <c r="H131" s="283"/>
      <c r="I131" s="283"/>
      <c r="J131" s="283"/>
      <c r="K131" s="33"/>
      <c r="L131" s="173"/>
      <c r="M131" s="839"/>
      <c r="N131" s="314"/>
      <c r="O131" s="911"/>
      <c r="P131" s="1027"/>
      <c r="Q131" s="1117"/>
      <c r="R131" s="1028"/>
      <c r="S131" s="1029"/>
      <c r="T131" s="1030"/>
      <c r="U131" s="1030"/>
      <c r="V131" s="1030"/>
      <c r="W131" s="335"/>
      <c r="X131" s="241"/>
      <c r="Z131"/>
    </row>
    <row r="132" spans="1:29" s="39" customFormat="1" ht="16.5" customHeight="1" outlineLevel="3" x14ac:dyDescent="0.35">
      <c r="A132" s="174"/>
      <c r="B132" s="34"/>
      <c r="C132" s="36"/>
      <c r="D132" s="34"/>
      <c r="E132" s="283"/>
      <c r="F132" s="283"/>
      <c r="G132" s="283"/>
      <c r="H132" s="283"/>
      <c r="I132" s="283"/>
      <c r="J132" s="283"/>
      <c r="K132" s="33"/>
      <c r="L132" s="173"/>
      <c r="M132" s="943"/>
      <c r="N132" s="944"/>
      <c r="O132" s="945"/>
      <c r="P132" s="975"/>
      <c r="Q132" s="1015"/>
      <c r="R132" s="1001">
        <f>'Tariff Rand Values 2024-25 Actu'!V84+'Tariff Rand Values 2024-25 Actu'!W84</f>
        <v>0</v>
      </c>
      <c r="S132" s="1006">
        <f>R132*(1+$S$2)</f>
        <v>0</v>
      </c>
      <c r="T132" s="1003">
        <f>S132*(1+$T$2)</f>
        <v>0</v>
      </c>
      <c r="U132" s="1003">
        <f>T132*(1+$T$2)</f>
        <v>0</v>
      </c>
      <c r="V132" s="1003">
        <f>U132*(1+$T$2)</f>
        <v>0</v>
      </c>
      <c r="W132" s="335"/>
      <c r="X132" s="241"/>
      <c r="Z132"/>
    </row>
    <row r="133" spans="1:29" s="39" customFormat="1" ht="4.5" customHeight="1" outlineLevel="3" thickBot="1" x14ac:dyDescent="0.4">
      <c r="Z133"/>
    </row>
    <row r="134" spans="1:29" ht="16.5" customHeight="1" outlineLevel="3" thickBot="1" x14ac:dyDescent="0.4">
      <c r="O134" s="904" t="s">
        <v>1938</v>
      </c>
      <c r="P134" s="901">
        <f t="shared" ref="P134:U134" si="62">SUM(P9:P130)</f>
        <v>3070260207.9992661</v>
      </c>
      <c r="Q134" s="1016">
        <f t="shared" si="62"/>
        <v>3306236802.9399996</v>
      </c>
      <c r="R134" s="1016">
        <f t="shared" si="62"/>
        <v>3886166236.9200191</v>
      </c>
      <c r="S134" s="1016">
        <f>SUM(S9:S130)</f>
        <v>4369763399.5899353</v>
      </c>
      <c r="T134" s="1016">
        <f>SUM(T9:T130)</f>
        <v>4745285159.5925312</v>
      </c>
      <c r="U134" s="1016">
        <f t="shared" si="62"/>
        <v>5086471162.5672369</v>
      </c>
      <c r="V134" s="1016">
        <f>SUM(V9:V130)</f>
        <v>5213632941.6314182</v>
      </c>
      <c r="W134" s="332" t="str">
        <f>"SUB TOTAL : "&amp;W6</f>
        <v>SUB TOTAL : SERVICE CHARGES</v>
      </c>
      <c r="X134" s="191" t="str">
        <f>W134</f>
        <v>SUB TOTAL : SERVICE CHARGES</v>
      </c>
      <c r="Y134" s="842"/>
    </row>
    <row r="135" spans="1:29" ht="16.5" customHeight="1" outlineLevel="1" x14ac:dyDescent="0.35">
      <c r="O135" s="33"/>
      <c r="P135" s="331"/>
      <c r="Q135" s="331"/>
      <c r="R135" s="548"/>
      <c r="S135" s="32"/>
      <c r="T135" s="800"/>
      <c r="U135" s="800"/>
      <c r="V135" s="800"/>
      <c r="W135" s="31"/>
      <c r="X135" s="31"/>
    </row>
    <row r="136" spans="1:29" x14ac:dyDescent="0.35">
      <c r="P136" s="315"/>
      <c r="Q136" s="315"/>
      <c r="R136" s="549"/>
      <c r="S136" s="549"/>
      <c r="T136" s="315"/>
      <c r="U136" s="315"/>
      <c r="V136" s="315"/>
      <c r="W136" s="315">
        <f>SUM(W12:W130)</f>
        <v>0</v>
      </c>
      <c r="X136" s="315" t="e">
        <f>SUM(X12:X130)</f>
        <v>#N/A</v>
      </c>
      <c r="Y136" s="315">
        <f>SUM(Y12:Y130)</f>
        <v>0</v>
      </c>
    </row>
    <row r="137" spans="1:29" x14ac:dyDescent="0.35">
      <c r="P137" s="248"/>
      <c r="Q137" s="248"/>
      <c r="R137" s="248"/>
      <c r="S137" s="549"/>
      <c r="T137" s="800"/>
      <c r="U137" s="800"/>
      <c r="V137" s="800"/>
    </row>
    <row r="138" spans="1:29" x14ac:dyDescent="0.35">
      <c r="O138" t="s">
        <v>1636</v>
      </c>
      <c r="P138" s="658">
        <f>+P134</f>
        <v>3070260207.9992661</v>
      </c>
      <c r="Q138" s="980"/>
      <c r="R138" s="980">
        <f>+R134</f>
        <v>3886166236.9200191</v>
      </c>
      <c r="S138" s="980">
        <f>+S134</f>
        <v>4369763399.5899353</v>
      </c>
      <c r="T138" s="980">
        <f>+T134</f>
        <v>4745285159.5925312</v>
      </c>
      <c r="U138" s="980">
        <f>+U134</f>
        <v>5086471162.5672369</v>
      </c>
      <c r="V138" s="980">
        <f>+V134</f>
        <v>5213632941.6314182</v>
      </c>
    </row>
    <row r="139" spans="1:29" x14ac:dyDescent="0.35">
      <c r="O139" t="s">
        <v>1635</v>
      </c>
      <c r="P139" s="658"/>
      <c r="Q139" s="980"/>
      <c r="R139" s="980">
        <f>'Tariff Rand Values 2024-25 Actu'!V88</f>
        <v>3886166236.9200187</v>
      </c>
      <c r="S139" s="981">
        <f>'Tariff Rand Values 2025-26'!V88</f>
        <v>4369762669.9467344</v>
      </c>
      <c r="T139" s="981">
        <f>'Tariff Rand Values 2026-27'!V92</f>
        <v>4745285159.5925322</v>
      </c>
      <c r="U139" s="981">
        <f>'Tariff Rand Values 2026-27'!V99</f>
        <v>5086471162.5672359</v>
      </c>
      <c r="V139" s="981">
        <f>'Tariff Rand Values 2026-27'!V106</f>
        <v>5213632941.6314163</v>
      </c>
    </row>
    <row r="140" spans="1:29" ht="15" thickBot="1" x14ac:dyDescent="0.4">
      <c r="O140" t="s">
        <v>1338</v>
      </c>
      <c r="P140" s="659"/>
      <c r="Q140" s="1118">
        <f>Q138-Q139</f>
        <v>0</v>
      </c>
      <c r="R140" s="982">
        <f>R138-R139</f>
        <v>0</v>
      </c>
      <c r="S140" s="982">
        <f>S138-S139</f>
        <v>729.64320087432861</v>
      </c>
      <c r="T140" s="982">
        <f>T138-T139</f>
        <v>0</v>
      </c>
      <c r="U140" s="982">
        <f t="shared" ref="U140" si="63">U138-U139</f>
        <v>0</v>
      </c>
      <c r="V140" s="982">
        <f>V138-V139</f>
        <v>0</v>
      </c>
    </row>
    <row r="141" spans="1:29" ht="15" thickTop="1" x14ac:dyDescent="0.35">
      <c r="P141" s="660"/>
      <c r="Q141" s="660"/>
      <c r="R141" s="603"/>
      <c r="S141" s="660"/>
      <c r="T141" s="800"/>
      <c r="U141" s="800"/>
      <c r="V141" s="800"/>
    </row>
    <row r="142" spans="1:29" ht="15" hidden="1" customHeight="1" x14ac:dyDescent="0.35">
      <c r="O142" s="39" t="s">
        <v>1637</v>
      </c>
      <c r="P142" s="603"/>
    </row>
    <row r="143" spans="1:29" ht="15" hidden="1" customHeight="1" x14ac:dyDescent="0.35">
      <c r="O143" t="s">
        <v>1491</v>
      </c>
      <c r="P143" s="611">
        <f>+P12+P13+P19+P20+P62+P63</f>
        <v>1252581950.4744594</v>
      </c>
      <c r="Q143" s="603">
        <f t="shared" ref="Q143:R143" si="64">SUM(Q12:Q13,Q19:Q20)</f>
        <v>1203649019.75</v>
      </c>
      <c r="R143" s="603">
        <f t="shared" si="64"/>
        <v>1571206227.2746964</v>
      </c>
      <c r="S143" s="603"/>
      <c r="T143" s="603"/>
      <c r="U143" s="603"/>
      <c r="V143" s="603"/>
    </row>
    <row r="144" spans="1:29" ht="15" hidden="1" customHeight="1" x14ac:dyDescent="0.35">
      <c r="O144" t="s">
        <v>1492</v>
      </c>
      <c r="P144" s="603">
        <f>SUM(P65:P126,P23:P59,P15:P16)</f>
        <v>1792137349.1060457</v>
      </c>
      <c r="Q144" s="603">
        <f>SUM(Q65:Q128,Q23:Q59,Q15:Q16,Q9:Q10)</f>
        <v>1841621003.9900002</v>
      </c>
      <c r="R144" s="611">
        <f>SUM(R65:R128,R23:R59,R15:R16)</f>
        <v>1977025227.7273676</v>
      </c>
      <c r="S144" s="611"/>
      <c r="T144" s="611"/>
      <c r="U144" s="611"/>
      <c r="V144" s="611"/>
    </row>
    <row r="145" spans="15:22" ht="15" hidden="1" customHeight="1" x14ac:dyDescent="0.35">
      <c r="O145" t="s">
        <v>298</v>
      </c>
      <c r="P145" s="603" t="e">
        <f>+#REF!</f>
        <v>#REF!</v>
      </c>
      <c r="Q145" s="603">
        <f t="shared" ref="Q145:R145" si="65">SUM(Q9:Q10)</f>
        <v>29734070.649999999</v>
      </c>
      <c r="R145" s="603">
        <f t="shared" si="65"/>
        <v>53993074.1945614</v>
      </c>
      <c r="S145" s="603"/>
      <c r="T145" s="603"/>
      <c r="U145" s="603"/>
      <c r="V145" s="603"/>
    </row>
    <row r="146" spans="15:22" ht="15.75" hidden="1" customHeight="1" thickBot="1" x14ac:dyDescent="0.4">
      <c r="O146" s="39" t="s">
        <v>1638</v>
      </c>
      <c r="P146" s="664" t="e">
        <f>SUM(P143:P145)</f>
        <v>#REF!</v>
      </c>
      <c r="Q146" s="664">
        <f>SUM(Q143:Q145)</f>
        <v>3075004094.3900003</v>
      </c>
      <c r="R146" s="664">
        <f t="shared" ref="R146" si="66">SUM(R143:R145)</f>
        <v>3602224529.1966252</v>
      </c>
      <c r="S146" s="664"/>
      <c r="T146" s="664"/>
      <c r="U146" s="664"/>
      <c r="V146" s="664"/>
    </row>
    <row r="147" spans="15:22" x14ac:dyDescent="0.35">
      <c r="P147" s="676"/>
      <c r="Q147" s="676"/>
      <c r="R147" s="676"/>
      <c r="S147" s="800"/>
      <c r="T147" s="800"/>
      <c r="U147" s="800"/>
      <c r="V147" s="800"/>
    </row>
    <row r="148" spans="15:22" x14ac:dyDescent="0.35">
      <c r="O148" s="39" t="s">
        <v>1637</v>
      </c>
      <c r="S148" s="802"/>
    </row>
    <row r="149" spans="15:22" x14ac:dyDescent="0.35">
      <c r="O149" s="937" t="s">
        <v>1933</v>
      </c>
      <c r="P149" s="938">
        <f>SUM(P9:P28,P31:P36,P39:P44,P48:P53,P58:P59,P62:P63,P65:P70,P73:P78,P81:P86,P91:P96,P101:P106,P111:P112,P114:P119,P121:P126,P128)</f>
        <v>2551220452.7655602</v>
      </c>
      <c r="Q149" s="1017">
        <f>SUM(Q9:Q28,Q31:Q36,Q39:Q44,Q48:Q53,Q58:Q59,Q62:Q63,Q65:Q70,Q73:Q78,Q81:Q86,Q91:Q96,Q101:Q106,Q111:Q112,Q114:Q119,Q121:Q126,Q128)</f>
        <v>2652777898.9899998</v>
      </c>
      <c r="R149" s="1017">
        <f>SUM(R9:R28,R31:R36,R39:R44,R48:R53,R58:R59,R62:R63,R65:R70,R73:R78,R81:R86,R91:R96,R101:R106,R111:R112,R114:R119,R121:R126,R128,R130)</f>
        <v>3337372682.4698076</v>
      </c>
      <c r="S149" s="1017">
        <f>SUM(S23:S28,S31:S36,S39:S44,S48:S53,S58:S59,S62:S63,S65:S70,S73:S78,S81:S86,S91:S96,S101:S106,S111:S112,S114:S119,S121:S126,S128,S130,S19:S20,S15:S16,S12:S13,S9:S10)</f>
        <v>3753217998.3212562</v>
      </c>
      <c r="T149" s="1017">
        <f>SUM(T23:T28,T31:T36,T39:T44,T48:T53,T58:T59,T62:T63,T65:T70,T73:T78,T81:T86,T91:T96,T101:T106,T111:T112,T114:T119,T121:T126,T128,T130,T19:T20,T15:T16,T12:T13,T9:T10)</f>
        <v>3967413603.8244023</v>
      </c>
      <c r="U149" s="1017">
        <f t="shared" ref="U149:V149" si="67">SUM(U23:U28,U31:U36,U39:U44,U48:U53,U58:U59,U62:U63,U65:U70,U73:U78,U81:U86,U91:U96,U101:U106,U111:U112,U114:U119,U121:U126,U128,U130,U19:U20,U15:U16,U12:U13,U9:U10)</f>
        <v>4252670641.9393749</v>
      </c>
      <c r="V149" s="1017">
        <f t="shared" si="67"/>
        <v>4358987407.9878597</v>
      </c>
    </row>
    <row r="150" spans="15:22" x14ac:dyDescent="0.35">
      <c r="O150" s="935" t="s">
        <v>1934</v>
      </c>
      <c r="P150" s="936">
        <f>SUM(P46,P55,P88:P89,P98:P99,P108:P109)</f>
        <v>480826966.26030642</v>
      </c>
      <c r="Q150" s="1018">
        <f>SUM(Q46,Q55,Q88:Q89,Q98:Q99,Q108:Q109)</f>
        <v>509481041.17000002</v>
      </c>
      <c r="R150" s="1018">
        <f>SUM(R46,R55,R88:R89,R98:R99,R108:R109)</f>
        <v>501039389.81020999</v>
      </c>
      <c r="S150" s="1018">
        <f>SUM(S46,S55,S88:S89,S98:S99,S108:S109)</f>
        <v>563168274.14667618</v>
      </c>
      <c r="T150" s="1018">
        <f>SUM(T46,T55,T88:T89,T98:T99,T108:T109)</f>
        <v>618921933.28719711</v>
      </c>
      <c r="U150" s="1018">
        <f t="shared" ref="U150" si="68">SUM(U46,U55,U88:U89,U98:U99,U108:U109)</f>
        <v>663422420.29054654</v>
      </c>
      <c r="V150" s="1018">
        <f t="shared" ref="V150" si="69">SUM(V46,V55,V88:V89,V98:V99,V108:V109)</f>
        <v>680007980.79781008</v>
      </c>
    </row>
    <row r="151" spans="15:22" x14ac:dyDescent="0.35">
      <c r="O151" s="933" t="s">
        <v>1935</v>
      </c>
      <c r="P151" s="934">
        <f t="shared" ref="P151:S151" si="70">SUM(P29,P37,P45,P54,P71,P79,P87,P97,P107)</f>
        <v>38212788.973399639</v>
      </c>
      <c r="Q151" s="1019">
        <f t="shared" si="70"/>
        <v>26528492.300000001</v>
      </c>
      <c r="R151" s="1019">
        <f t="shared" si="70"/>
        <v>47754164.640000001</v>
      </c>
      <c r="S151" s="1019">
        <f t="shared" si="70"/>
        <v>53377127.122003123</v>
      </c>
      <c r="T151" s="1019">
        <f>SUM(T29,T37,T45,T54,T71,T79,T87,T97,T107,T61,T57,T21,T17)</f>
        <v>158949622.48093462</v>
      </c>
      <c r="U151" s="1019">
        <f t="shared" ref="U151:V151" si="71">SUM(U29,U37,U45,U54,U71,U79,U87,U97,U107,U61,U57,U21,U17)</f>
        <v>170378100.33731386</v>
      </c>
      <c r="V151" s="1019">
        <f t="shared" si="71"/>
        <v>174637552.84574667</v>
      </c>
    </row>
    <row r="152" spans="15:22" ht="15" thickBot="1" x14ac:dyDescent="0.4">
      <c r="P152" s="664">
        <f>SUM(P149:P151)</f>
        <v>3070260207.9992661</v>
      </c>
      <c r="Q152" s="1020">
        <f>SUM(Q149:Q151)</f>
        <v>3188787432.46</v>
      </c>
      <c r="R152" s="1020">
        <f>SUM(R149:R151)</f>
        <v>3886166236.9200177</v>
      </c>
      <c r="S152" s="1020">
        <f>SUM(S149:S151)</f>
        <v>4369763399.5899363</v>
      </c>
      <c r="T152" s="1020">
        <f t="shared" ref="T152:U152" si="72">SUM(T149:T151)</f>
        <v>4745285159.5925331</v>
      </c>
      <c r="U152" s="1020">
        <f t="shared" si="72"/>
        <v>5086471162.567235</v>
      </c>
      <c r="V152" s="1020">
        <f t="shared" ref="V152" si="73">SUM(V149:V151)</f>
        <v>5213632941.6314163</v>
      </c>
    </row>
    <row r="153" spans="15:22" ht="15" thickTop="1" x14ac:dyDescent="0.35"/>
  </sheetData>
  <autoFilter ref="A3:X3" xr:uid="{00000000-0009-0000-0000-000004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1">
    <mergeCell ref="A3:L3"/>
  </mergeCells>
  <pageMargins left="0.23622047244094491" right="0.23622047244094491" top="0.74803149606299213" bottom="0.74803149606299213" header="0.31496062992125984" footer="0.31496062992125984"/>
  <pageSetup paperSize="8" fitToHeight="0" orientation="portrait" r:id="rId1"/>
  <rowBreaks count="1" manualBreakCount="1">
    <brk id="63"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507D-F2BB-4BF6-9381-A261396B6CA3}">
  <sheetPr>
    <tabColor theme="9"/>
  </sheetPr>
  <dimension ref="A1:G27"/>
  <sheetViews>
    <sheetView topLeftCell="A9" workbookViewId="0">
      <selection activeCell="A28" sqref="A28"/>
    </sheetView>
  </sheetViews>
  <sheetFormatPr defaultRowHeight="14.5" x14ac:dyDescent="0.35"/>
  <cols>
    <col min="1" max="1" width="39.6328125" bestFit="1" customWidth="1"/>
    <col min="2" max="2" width="15.36328125" customWidth="1"/>
    <col min="3" max="3" width="19" bestFit="1" customWidth="1"/>
    <col min="4" max="4" width="17" customWidth="1"/>
    <col min="5" max="5" width="41.08984375" customWidth="1"/>
    <col min="7" max="7" width="16.453125" customWidth="1"/>
  </cols>
  <sheetData>
    <row r="1" spans="1:7" ht="20.5" thickBot="1" x14ac:dyDescent="0.45">
      <c r="A1" s="1141" t="s">
        <v>1953</v>
      </c>
      <c r="B1" s="1142"/>
      <c r="C1" s="1142"/>
      <c r="D1" s="1142"/>
      <c r="E1" s="1143"/>
    </row>
    <row r="2" spans="1:7" ht="20" x14ac:dyDescent="0.4">
      <c r="A2" s="923"/>
      <c r="B2" s="923"/>
      <c r="C2" s="923"/>
      <c r="D2" s="923"/>
      <c r="E2" s="923"/>
    </row>
    <row r="3" spans="1:7" ht="20" thickBot="1" x14ac:dyDescent="0.5">
      <c r="A3" s="1058" t="s">
        <v>1942</v>
      </c>
      <c r="B3" s="1059"/>
      <c r="C3" s="1059"/>
      <c r="D3" s="1059"/>
      <c r="E3" s="1056">
        <v>0.124</v>
      </c>
    </row>
    <row r="4" spans="1:7" ht="15" thickTop="1" x14ac:dyDescent="0.35">
      <c r="A4" s="740"/>
      <c r="B4" s="742"/>
      <c r="C4" s="742"/>
      <c r="D4" s="742"/>
      <c r="E4" s="742"/>
    </row>
    <row r="5" spans="1:7" ht="42.5" thickBot="1" x14ac:dyDescent="0.4">
      <c r="A5" s="1021" t="s">
        <v>1472</v>
      </c>
      <c r="B5" s="1022" t="s">
        <v>1439</v>
      </c>
      <c r="C5" s="1021" t="s">
        <v>1473</v>
      </c>
      <c r="D5" s="1023" t="s">
        <v>1474</v>
      </c>
      <c r="E5" s="1024" t="s">
        <v>1939</v>
      </c>
    </row>
    <row r="6" spans="1:7" x14ac:dyDescent="0.35">
      <c r="A6" s="924" t="str">
        <f>MID('MSCOA - Tariff Structure'!O8,5,20)</f>
        <v>INDIGENT - FBE</v>
      </c>
      <c r="B6" s="976">
        <v>42462</v>
      </c>
      <c r="C6" s="977">
        <v>58687019</v>
      </c>
      <c r="D6" s="928">
        <f t="shared" ref="D6:D22" si="0">$E$3</f>
        <v>0.124</v>
      </c>
      <c r="E6" s="929">
        <v>27360000</v>
      </c>
      <c r="G6" s="802">
        <f>Table15[[#This Row],[NUMBER OF CUSTOMERS]]*12*50</f>
        <v>25477200</v>
      </c>
    </row>
    <row r="7" spans="1:7" x14ac:dyDescent="0.35">
      <c r="A7" s="925" t="s">
        <v>1955</v>
      </c>
      <c r="B7" s="932"/>
      <c r="C7" s="978">
        <v>111319112.65000001</v>
      </c>
      <c r="D7" s="1131">
        <f>$E$3</f>
        <v>0.124</v>
      </c>
      <c r="E7" s="1132"/>
    </row>
    <row r="8" spans="1:7" x14ac:dyDescent="0.35">
      <c r="A8" s="925" t="str">
        <f>MID('MSCOA - Tariff Structure'!O14,5,30)</f>
        <v xml:space="preserve">DOMESTIC IBT CONVENTIONAL </v>
      </c>
      <c r="B8" s="932">
        <v>174</v>
      </c>
      <c r="C8" s="978">
        <v>23682773.030000001</v>
      </c>
      <c r="D8" s="930">
        <f t="shared" si="0"/>
        <v>0.124</v>
      </c>
      <c r="E8" s="931">
        <v>3700148.98845845</v>
      </c>
    </row>
    <row r="9" spans="1:7" x14ac:dyDescent="0.35">
      <c r="A9" s="925" t="str">
        <f>MID('MSCOA - Tariff Structure'!O18,5,30)</f>
        <v>DOMESTIC IBT PREPAID</v>
      </c>
      <c r="B9" s="932">
        <v>151407</v>
      </c>
      <c r="C9" s="978">
        <v>1654716686.8</v>
      </c>
      <c r="D9" s="930">
        <f t="shared" si="0"/>
        <v>0.124</v>
      </c>
      <c r="E9" s="931">
        <v>521858389.23795676</v>
      </c>
    </row>
    <row r="10" spans="1:7" x14ac:dyDescent="0.35">
      <c r="A10" s="925" t="str">
        <f>MID('MSCOA - Tariff Structure'!O22,5,30)</f>
        <v>HOMEFLEX SINGLE PHASE</v>
      </c>
      <c r="B10" s="922">
        <v>61</v>
      </c>
      <c r="C10" s="978">
        <v>886774.82</v>
      </c>
      <c r="D10" s="930">
        <f t="shared" si="0"/>
        <v>0.124</v>
      </c>
      <c r="E10" s="931">
        <v>1019566.689336</v>
      </c>
    </row>
    <row r="11" spans="1:7" x14ac:dyDescent="0.35">
      <c r="A11" s="925" t="str">
        <f>MID('MSCOA - Tariff Structure'!O30,5,30)</f>
        <v>HOMEFLEX THREE PHASE</v>
      </c>
      <c r="B11" s="922">
        <v>182</v>
      </c>
      <c r="C11" s="978">
        <v>37654931.399999999</v>
      </c>
      <c r="D11" s="930">
        <f t="shared" si="0"/>
        <v>0.124</v>
      </c>
      <c r="E11" s="931">
        <v>12685917.116244907</v>
      </c>
    </row>
    <row r="12" spans="1:7" x14ac:dyDescent="0.35">
      <c r="A12" s="925" t="str">
        <f>MID('MSCOA - Tariff Structure'!O38,5,30)</f>
        <v>BULK RESELL 2</v>
      </c>
      <c r="B12" s="922">
        <v>30</v>
      </c>
      <c r="C12" s="978">
        <v>85144547.209999993</v>
      </c>
      <c r="D12" s="930">
        <f>$E$3</f>
        <v>0.124</v>
      </c>
      <c r="E12" s="931">
        <v>30067709.490000002</v>
      </c>
    </row>
    <row r="13" spans="1:7" x14ac:dyDescent="0.35">
      <c r="A13" s="925" t="str">
        <f>MID('MSCOA - Tariff Structure'!O47,5,30)</f>
        <v>BULK RESELL 3</v>
      </c>
      <c r="B13" s="922">
        <v>161</v>
      </c>
      <c r="C13" s="978">
        <v>115107410.5</v>
      </c>
      <c r="D13" s="930">
        <f t="shared" si="0"/>
        <v>0.124</v>
      </c>
      <c r="E13" s="931">
        <v>37356714.518463999</v>
      </c>
    </row>
    <row r="14" spans="1:7" x14ac:dyDescent="0.35">
      <c r="A14" s="925" t="str">
        <f>MID('MSCOA - Tariff Structure'!O56,5,31)</f>
        <v>BUSINESS FLAT RATE CONVENTIONAL</v>
      </c>
      <c r="B14" s="922">
        <v>256</v>
      </c>
      <c r="C14" s="978">
        <v>46421721.07</v>
      </c>
      <c r="D14" s="930">
        <f t="shared" si="0"/>
        <v>0.124</v>
      </c>
      <c r="E14" s="931">
        <v>8427590.9015760012</v>
      </c>
    </row>
    <row r="15" spans="1:7" x14ac:dyDescent="0.35">
      <c r="A15" s="925" t="str">
        <f>MID('MSCOA - Tariff Structure'!O60,5,31)</f>
        <v>BUSINESS FLAT RATE PREPAID</v>
      </c>
      <c r="B15" s="922">
        <v>3189</v>
      </c>
      <c r="C15" s="978">
        <v>170827135.47</v>
      </c>
      <c r="D15" s="930">
        <f t="shared" si="0"/>
        <v>0.124</v>
      </c>
      <c r="E15" s="931">
        <v>51536398.143056147</v>
      </c>
    </row>
    <row r="16" spans="1:7" x14ac:dyDescent="0.35">
      <c r="A16" s="925" t="str">
        <f>MID('MSCOA - Tariff Structure'!O64,5,31)</f>
        <v>COMFLEX SINGLE PHASE</v>
      </c>
      <c r="B16" s="922">
        <v>69</v>
      </c>
      <c r="C16" s="978">
        <v>1790366.5</v>
      </c>
      <c r="D16" s="930">
        <f t="shared" si="0"/>
        <v>0.124</v>
      </c>
      <c r="E16" s="931">
        <v>807132.48036164546</v>
      </c>
    </row>
    <row r="17" spans="1:5" x14ac:dyDescent="0.35">
      <c r="A17" s="925" t="str">
        <f>MID('MSCOA - Tariff Structure'!O72,5,31)</f>
        <v>COMFLEX THREE PHASE</v>
      </c>
      <c r="B17" s="922">
        <v>942</v>
      </c>
      <c r="C17" s="978">
        <v>104509654.64</v>
      </c>
      <c r="D17" s="930">
        <f t="shared" si="0"/>
        <v>0.124</v>
      </c>
      <c r="E17" s="931">
        <v>56921443.563172318</v>
      </c>
    </row>
    <row r="18" spans="1:5" x14ac:dyDescent="0.35">
      <c r="A18" s="925" t="str">
        <f>MID('MSCOA - Tariff Structure'!O80,5,31)</f>
        <v>ELECFLEX 1</v>
      </c>
      <c r="B18" s="922">
        <v>3</v>
      </c>
      <c r="C18" s="978">
        <v>182110141.00999999</v>
      </c>
      <c r="D18" s="930">
        <f t="shared" si="0"/>
        <v>0.124</v>
      </c>
      <c r="E18" s="931">
        <v>68367433.803719997</v>
      </c>
    </row>
    <row r="19" spans="1:5" x14ac:dyDescent="0.35">
      <c r="A19" s="925" t="str">
        <f>MID('MSCOA - Tariff Structure'!O90,5,31)</f>
        <v>ELECFLEX 2</v>
      </c>
      <c r="B19" s="922">
        <v>165</v>
      </c>
      <c r="C19" s="978">
        <v>1036439317.9</v>
      </c>
      <c r="D19" s="930">
        <f t="shared" si="0"/>
        <v>0.124</v>
      </c>
      <c r="E19" s="931">
        <v>330203989.87109298</v>
      </c>
    </row>
    <row r="20" spans="1:5" x14ac:dyDescent="0.35">
      <c r="A20" s="925" t="str">
        <f>MID('MSCOA - Tariff Structure'!O100,5,31)</f>
        <v>ELECFLEX 3</v>
      </c>
      <c r="B20" s="922">
        <v>551</v>
      </c>
      <c r="C20" s="978">
        <v>444445135.26999998</v>
      </c>
      <c r="D20" s="930">
        <f t="shared" si="0"/>
        <v>0.124</v>
      </c>
      <c r="E20" s="931">
        <v>144103835.17816001</v>
      </c>
    </row>
    <row r="21" spans="1:5" x14ac:dyDescent="0.35">
      <c r="A21" s="925" t="str">
        <f>MID('MSCOA - Tariff Structure'!O113,5,31)</f>
        <v>DEPARTMENTAL TIME OF USE</v>
      </c>
      <c r="B21" s="922">
        <v>9</v>
      </c>
      <c r="C21" s="978">
        <v>2261646.56</v>
      </c>
      <c r="D21" s="930">
        <f t="shared" si="0"/>
        <v>0.124</v>
      </c>
      <c r="E21" s="931">
        <v>761665.09860000003</v>
      </c>
    </row>
    <row r="22" spans="1:5" x14ac:dyDescent="0.35">
      <c r="A22" s="925" t="str">
        <f>MID('MSCOA - Tariff Structure'!O120,5,31)</f>
        <v>SPORTS STADIUMS TIME OF USE</v>
      </c>
      <c r="B22" s="922">
        <v>7</v>
      </c>
      <c r="C22" s="978">
        <v>8110085.3499999996</v>
      </c>
      <c r="D22" s="930">
        <f t="shared" si="0"/>
        <v>0.124</v>
      </c>
      <c r="E22" s="931">
        <v>2166583.22130987</v>
      </c>
    </row>
    <row r="23" spans="1:5" x14ac:dyDescent="0.35">
      <c r="A23" s="926" t="s">
        <v>1954</v>
      </c>
      <c r="B23" s="927">
        <v>8</v>
      </c>
      <c r="C23" s="979">
        <v>133541328.38</v>
      </c>
      <c r="D23" s="930">
        <f>$E$3</f>
        <v>0.124</v>
      </c>
      <c r="E23" s="1128">
        <v>86785995</v>
      </c>
    </row>
    <row r="24" spans="1:5" x14ac:dyDescent="0.35">
      <c r="A24" s="925"/>
      <c r="B24" s="922"/>
      <c r="C24" s="978">
        <v>424455.91</v>
      </c>
      <c r="D24" s="1131">
        <f>$E$3</f>
        <v>0.124</v>
      </c>
      <c r="E24" s="1132"/>
    </row>
    <row r="25" spans="1:5" x14ac:dyDescent="0.35">
      <c r="A25" s="926"/>
      <c r="B25" s="927"/>
      <c r="C25" s="979">
        <v>148323344.00999999</v>
      </c>
      <c r="D25" s="1133">
        <f>$E$3</f>
        <v>0.124</v>
      </c>
      <c r="E25" s="1128"/>
    </row>
    <row r="26" spans="1:5" ht="15" thickBot="1" x14ac:dyDescent="0.4">
      <c r="A26" s="1025" t="s">
        <v>1436</v>
      </c>
      <c r="B26" s="1129">
        <f>SUM(B6:B25)</f>
        <v>199676</v>
      </c>
      <c r="C26" s="1130">
        <f>SUM(C6:C25)</f>
        <v>4366403587.4799995</v>
      </c>
      <c r="D26" s="1026">
        <f>AVERAGE(D8:D22)</f>
        <v>0.12400000000000005</v>
      </c>
      <c r="E26" s="1129">
        <f>SUM(E6:E25)</f>
        <v>1384130513.3015089</v>
      </c>
    </row>
    <row r="27" spans="1:5" ht="15" thickTop="1" x14ac:dyDescent="0.35"/>
  </sheetData>
  <mergeCells count="1">
    <mergeCell ref="A1:E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AB127"/>
  <sheetViews>
    <sheetView zoomScale="97" zoomScaleNormal="100" workbookViewId="0">
      <pane xSplit="4" ySplit="1" topLeftCell="I77" activePane="bottomRight" state="frozen"/>
      <selection pane="topRight" activeCell="E1" sqref="E1"/>
      <selection pane="bottomLeft" activeCell="A2" sqref="A2"/>
      <selection pane="bottomRight" activeCell="I90" sqref="I90"/>
    </sheetView>
  </sheetViews>
  <sheetFormatPr defaultColWidth="8.6328125" defaultRowHeight="14.5" x14ac:dyDescent="0.35"/>
  <cols>
    <col min="1" max="1" width="19.36328125" style="245" customWidth="1"/>
    <col min="2" max="2" width="13.6328125" style="245" customWidth="1"/>
    <col min="3" max="3" width="56.54296875" style="245" hidden="1" customWidth="1"/>
    <col min="4" max="4" width="58" style="245" hidden="1" customWidth="1"/>
    <col min="5" max="5" width="56.54296875" style="245" hidden="1" customWidth="1"/>
    <col min="6" max="6" width="58.6328125" style="245" hidden="1" customWidth="1"/>
    <col min="7" max="7" width="21.6328125" style="245" hidden="1" customWidth="1"/>
    <col min="8" max="8" width="20.6328125" style="245" hidden="1" customWidth="1"/>
    <col min="9" max="9" width="15.36328125" style="588" customWidth="1"/>
    <col min="10" max="21" width="14.90625" style="594" bestFit="1" customWidth="1"/>
    <col min="22" max="22" width="17.54296875" style="594" customWidth="1"/>
    <col min="23" max="23" width="19.453125" style="594" customWidth="1"/>
    <col min="24" max="24" width="14.453125" style="245" hidden="1" customWidth="1"/>
    <col min="25" max="25" width="8.6328125" style="245"/>
    <col min="26" max="26" width="15.6328125" style="245" bestFit="1" customWidth="1"/>
    <col min="27" max="27" width="14.36328125" style="245" bestFit="1" customWidth="1"/>
    <col min="28" max="28" width="15.453125" style="245" bestFit="1" customWidth="1"/>
    <col min="29" max="16384" width="8.6328125" style="245"/>
  </cols>
  <sheetData>
    <row r="1" spans="1:28" s="247" customFormat="1" x14ac:dyDescent="0.35">
      <c r="A1" s="247" t="s">
        <v>531</v>
      </c>
      <c r="B1" s="247" t="s">
        <v>532</v>
      </c>
      <c r="C1" s="247" t="s">
        <v>548</v>
      </c>
      <c r="D1" s="247" t="s">
        <v>549</v>
      </c>
      <c r="E1" s="247" t="s">
        <v>548</v>
      </c>
      <c r="F1" s="247" t="s">
        <v>549</v>
      </c>
      <c r="G1" s="247" t="s">
        <v>1429</v>
      </c>
      <c r="H1" s="247" t="s">
        <v>1429</v>
      </c>
      <c r="I1" s="585" t="s">
        <v>282</v>
      </c>
      <c r="J1" s="585" t="s">
        <v>521</v>
      </c>
      <c r="K1" s="585" t="s">
        <v>522</v>
      </c>
      <c r="L1" s="585" t="s">
        <v>523</v>
      </c>
      <c r="M1" s="585" t="s">
        <v>524</v>
      </c>
      <c r="N1" s="585" t="s">
        <v>525</v>
      </c>
      <c r="O1" s="585" t="s">
        <v>526</v>
      </c>
      <c r="P1" s="585" t="s">
        <v>527</v>
      </c>
      <c r="Q1" s="585" t="s">
        <v>528</v>
      </c>
      <c r="R1" s="585" t="s">
        <v>540</v>
      </c>
      <c r="S1" s="585" t="s">
        <v>541</v>
      </c>
      <c r="T1" s="585" t="s">
        <v>529</v>
      </c>
      <c r="U1" s="585" t="s">
        <v>530</v>
      </c>
      <c r="V1" s="586" t="s">
        <v>281</v>
      </c>
      <c r="W1" s="586" t="s">
        <v>280</v>
      </c>
    </row>
    <row r="2" spans="1:28" x14ac:dyDescent="0.35">
      <c r="A2" s="247" t="s">
        <v>1520</v>
      </c>
      <c r="I2" s="601">
        <f>SUM(I3:I5)</f>
        <v>115979198.39023839</v>
      </c>
      <c r="J2" s="602"/>
      <c r="K2" s="602"/>
      <c r="L2" s="602"/>
      <c r="M2" s="602"/>
      <c r="N2" s="602"/>
      <c r="O2" s="602"/>
      <c r="P2" s="602"/>
      <c r="Q2" s="602"/>
      <c r="R2" s="602"/>
      <c r="S2" s="602"/>
      <c r="T2" s="602"/>
      <c r="U2" s="602"/>
      <c r="V2" s="603"/>
      <c r="W2" s="603"/>
    </row>
    <row r="3" spans="1:28" x14ac:dyDescent="0.35">
      <c r="A3" s="312" t="s">
        <v>309</v>
      </c>
      <c r="B3" s="312" t="s">
        <v>307</v>
      </c>
      <c r="C3" s="312" t="s">
        <v>824</v>
      </c>
      <c r="D3" s="312" t="s">
        <v>825</v>
      </c>
      <c r="E3" s="245" t="s">
        <v>824</v>
      </c>
      <c r="F3" s="245" t="s">
        <v>825</v>
      </c>
      <c r="I3" s="723">
        <f>SUM(J3:U3)</f>
        <v>26469420.8618</v>
      </c>
      <c r="J3" s="603">
        <v>2672915.3330399999</v>
      </c>
      <c r="K3" s="603">
        <v>2614548.304</v>
      </c>
      <c r="L3" s="603">
        <v>2071826.8162800001</v>
      </c>
      <c r="M3" s="603">
        <v>2064579.37228</v>
      </c>
      <c r="N3" s="603">
        <v>2062550.0879600001</v>
      </c>
      <c r="O3" s="603">
        <v>2059071.3148400001</v>
      </c>
      <c r="P3" s="603">
        <v>2058563.99376</v>
      </c>
      <c r="Q3" s="603">
        <v>2061897.818</v>
      </c>
      <c r="R3" s="603">
        <v>2061897.818</v>
      </c>
      <c r="S3" s="603">
        <v>2063347.3068000001</v>
      </c>
      <c r="T3" s="603">
        <v>2059071.3148400001</v>
      </c>
      <c r="U3" s="603">
        <v>2619151.3820000002</v>
      </c>
      <c r="V3" s="628">
        <f>SUM(L3:T3)</f>
        <v>18562805.84276</v>
      </c>
      <c r="W3" s="628">
        <f>U3+J3+K3</f>
        <v>7906615.0190399997</v>
      </c>
      <c r="Z3" s="270">
        <f>V3+V7</f>
        <v>18571140.403360002</v>
      </c>
      <c r="AA3" s="270">
        <f>W3+W7</f>
        <v>7909837.1736399997</v>
      </c>
      <c r="AB3" s="382">
        <f>SUM(Z3:AA3)</f>
        <v>26480977.577</v>
      </c>
    </row>
    <row r="4" spans="1:28" x14ac:dyDescent="0.35">
      <c r="A4" s="312" t="s">
        <v>309</v>
      </c>
      <c r="B4" s="312" t="s">
        <v>307</v>
      </c>
      <c r="C4" s="312" t="s">
        <v>824</v>
      </c>
      <c r="D4" s="312" t="s">
        <v>825</v>
      </c>
      <c r="E4" s="245" t="s">
        <v>824</v>
      </c>
      <c r="F4" s="245" t="s">
        <v>825</v>
      </c>
      <c r="I4" s="604">
        <f>SUM(J4:U4)</f>
        <v>56286710.253771521</v>
      </c>
      <c r="J4" s="603">
        <v>5808117.679056</v>
      </c>
      <c r="K4" s="603">
        <v>3353495.9377919999</v>
      </c>
      <c r="L4" s="603">
        <v>3499327.6261631995</v>
      </c>
      <c r="M4" s="603">
        <v>3429957.3168895999</v>
      </c>
      <c r="N4" s="603">
        <v>2890976.1417983994</v>
      </c>
      <c r="O4" s="603">
        <v>5164738.6107494403</v>
      </c>
      <c r="P4" s="603">
        <v>4795398.2560665598</v>
      </c>
      <c r="Q4" s="603">
        <v>4708365.0600960003</v>
      </c>
      <c r="R4" s="603">
        <v>5266627.5839999998</v>
      </c>
      <c r="S4" s="603">
        <v>5161849.0000895998</v>
      </c>
      <c r="T4" s="603">
        <v>5420258.1805107202</v>
      </c>
      <c r="U4" s="603">
        <v>6787598.860559999</v>
      </c>
      <c r="V4" s="605">
        <f>SUM(L4:T4)</f>
        <v>40337497.776363514</v>
      </c>
      <c r="W4" s="605">
        <f>U4+J4+K4</f>
        <v>15949212.477407999</v>
      </c>
      <c r="X4" s="245">
        <f>+W4+V4+V5+W5+V8+V9+W8+W9</f>
        <v>89576427.862622395</v>
      </c>
    </row>
    <row r="5" spans="1:28" x14ac:dyDescent="0.35">
      <c r="A5" s="312" t="s">
        <v>309</v>
      </c>
      <c r="B5" s="312" t="s">
        <v>307</v>
      </c>
      <c r="C5" s="312" t="s">
        <v>824</v>
      </c>
      <c r="D5" s="312" t="s">
        <v>825</v>
      </c>
      <c r="I5" s="604">
        <f>SUM(J5:U5)</f>
        <v>33223067.274666864</v>
      </c>
      <c r="J5" s="603">
        <v>5213951.2234656001</v>
      </c>
      <c r="K5" s="603">
        <v>596115.22751999996</v>
      </c>
      <c r="L5" s="603">
        <v>1906470.6196124167</v>
      </c>
      <c r="M5" s="603">
        <v>2109091.6199541045</v>
      </c>
      <c r="N5" s="603">
        <v>2099230.3439151365</v>
      </c>
      <c r="O5" s="603">
        <v>3020329.0547468006</v>
      </c>
      <c r="P5" s="603">
        <v>2804327.3585577602</v>
      </c>
      <c r="Q5" s="603">
        <v>2753769.5912056002</v>
      </c>
      <c r="R5" s="603">
        <v>3080173.3378796005</v>
      </c>
      <c r="S5" s="603">
        <v>3018810.0018866402</v>
      </c>
      <c r="T5" s="603">
        <v>3169850.2950808005</v>
      </c>
      <c r="U5" s="603">
        <v>3450948.6008424</v>
      </c>
      <c r="V5" s="605">
        <f>SUM(L5:T5)</f>
        <v>23962052.22283886</v>
      </c>
      <c r="W5" s="605">
        <f>U5+J5+K5</f>
        <v>9261015.0518280007</v>
      </c>
    </row>
    <row r="6" spans="1:28" x14ac:dyDescent="0.35">
      <c r="A6" s="247" t="s">
        <v>1521</v>
      </c>
      <c r="I6" s="825">
        <f>SUM(I7:I9)</f>
        <v>78207.049384017228</v>
      </c>
      <c r="J6" s="602"/>
      <c r="K6" s="602"/>
      <c r="L6" s="602"/>
      <c r="M6" s="602"/>
      <c r="N6" s="602"/>
      <c r="O6" s="602"/>
      <c r="P6" s="602"/>
      <c r="Q6" s="602"/>
      <c r="R6" s="602"/>
      <c r="S6" s="602"/>
      <c r="T6" s="602"/>
      <c r="U6" s="602"/>
      <c r="V6" s="603">
        <f>V5+V4+V3</f>
        <v>82862355.841962367</v>
      </c>
      <c r="W6" s="603">
        <f>W5+W4+W3</f>
        <v>33116842.548276</v>
      </c>
    </row>
    <row r="7" spans="1:28" x14ac:dyDescent="0.35">
      <c r="A7" s="312" t="s">
        <v>309</v>
      </c>
      <c r="B7" s="312" t="s">
        <v>307</v>
      </c>
      <c r="C7" s="312" t="s">
        <v>824</v>
      </c>
      <c r="D7" s="312" t="s">
        <v>825</v>
      </c>
      <c r="E7" s="245" t="s">
        <v>824</v>
      </c>
      <c r="F7" s="245" t="s">
        <v>825</v>
      </c>
      <c r="I7" s="604">
        <f>SUM(J7:U7)</f>
        <v>11556.715200000001</v>
      </c>
      <c r="J7" s="603">
        <v>1288.86184</v>
      </c>
      <c r="K7" s="603">
        <v>1288.86184</v>
      </c>
      <c r="L7" s="603">
        <v>1014.64216</v>
      </c>
      <c r="M7" s="603">
        <v>942.16772000000003</v>
      </c>
      <c r="N7" s="603">
        <v>942.16772000000003</v>
      </c>
      <c r="O7" s="603">
        <v>942.16772000000003</v>
      </c>
      <c r="P7" s="603">
        <v>942.16772000000003</v>
      </c>
      <c r="Q7" s="603">
        <v>942.16772000000003</v>
      </c>
      <c r="R7" s="603">
        <v>942.16772000000003</v>
      </c>
      <c r="S7" s="603">
        <v>942.16772000000003</v>
      </c>
      <c r="T7" s="603">
        <v>724.74440000000004</v>
      </c>
      <c r="U7" s="603">
        <v>644.43092000000001</v>
      </c>
      <c r="V7" s="628">
        <f>SUM(L7:T7)</f>
        <v>8334.5606000000007</v>
      </c>
      <c r="W7" s="628">
        <f>U7+J7+K7</f>
        <v>3222.1545999999998</v>
      </c>
      <c r="X7" s="245">
        <f>+W7+V7</f>
        <v>11556.715200000001</v>
      </c>
    </row>
    <row r="8" spans="1:28" x14ac:dyDescent="0.35">
      <c r="A8" s="312" t="s">
        <v>309</v>
      </c>
      <c r="B8" s="312" t="s">
        <v>307</v>
      </c>
      <c r="C8" s="312" t="s">
        <v>824</v>
      </c>
      <c r="D8" s="312" t="s">
        <v>825</v>
      </c>
      <c r="E8" s="245" t="s">
        <v>824</v>
      </c>
      <c r="F8" s="245" t="s">
        <v>825</v>
      </c>
      <c r="I8" s="604">
        <f>SUM(J8:U8)</f>
        <v>36168.367044923078</v>
      </c>
      <c r="J8" s="603">
        <v>5773.8292726153841</v>
      </c>
      <c r="K8" s="603">
        <v>5756.0440999384609</v>
      </c>
      <c r="L8" s="603">
        <v>2964.6763008000003</v>
      </c>
      <c r="M8" s="603">
        <v>2664.2440447999998</v>
      </c>
      <c r="N8" s="603">
        <v>2946.0101632000005</v>
      </c>
      <c r="O8" s="603">
        <v>2664.2440447999998</v>
      </c>
      <c r="P8" s="603">
        <v>2707.3612800000001</v>
      </c>
      <c r="Q8" s="603">
        <v>2647.1976960000002</v>
      </c>
      <c r="R8" s="603">
        <v>2607.0886399999999</v>
      </c>
      <c r="S8" s="603">
        <v>2566.9795840000002</v>
      </c>
      <c r="T8" s="603">
        <v>1922.1493759999998</v>
      </c>
      <c r="U8" s="603">
        <v>948.54254276923075</v>
      </c>
      <c r="V8" s="605">
        <f>SUM(L8:T8)</f>
        <v>23689.951129599998</v>
      </c>
      <c r="W8" s="605">
        <f>U8+J8+K8</f>
        <v>12478.415915323076</v>
      </c>
      <c r="X8" s="245">
        <f>+V8+W8</f>
        <v>36168.36704492307</v>
      </c>
    </row>
    <row r="9" spans="1:28" x14ac:dyDescent="0.35">
      <c r="A9" s="312" t="s">
        <v>309</v>
      </c>
      <c r="B9" s="312" t="s">
        <v>307</v>
      </c>
      <c r="C9" s="312" t="s">
        <v>824</v>
      </c>
      <c r="D9" s="312" t="s">
        <v>825</v>
      </c>
      <c r="I9" s="604">
        <f>SUM(J9:U9)</f>
        <v>30481.967139094155</v>
      </c>
      <c r="J9" s="603">
        <v>4569.8435892480002</v>
      </c>
      <c r="K9" s="603">
        <v>4577.6798457599998</v>
      </c>
      <c r="L9" s="603">
        <v>2711.3914688</v>
      </c>
      <c r="M9" s="603">
        <v>2512.2473438400002</v>
      </c>
      <c r="N9" s="603">
        <v>2161.9557752000001</v>
      </c>
      <c r="O9" s="603">
        <v>2326.1549480000003</v>
      </c>
      <c r="P9" s="603">
        <v>2052.4896600000002</v>
      </c>
      <c r="Q9" s="603">
        <v>1724.0913144000001</v>
      </c>
      <c r="R9" s="603">
        <v>2736.6528800000006</v>
      </c>
      <c r="S9" s="603">
        <v>2736.6528800000006</v>
      </c>
      <c r="T9" s="603">
        <v>1619.3212307692306</v>
      </c>
      <c r="U9" s="603">
        <v>753.48620307692306</v>
      </c>
      <c r="V9" s="605">
        <f>SUM(L9:T9)</f>
        <v>20580.957501009234</v>
      </c>
      <c r="W9" s="605">
        <f>U9+J9+K9</f>
        <v>9901.0096380849227</v>
      </c>
      <c r="X9" s="245">
        <f>+V9+W9</f>
        <v>30481.967139094158</v>
      </c>
    </row>
    <row r="10" spans="1:28" x14ac:dyDescent="0.35">
      <c r="A10" s="247" t="s">
        <v>1484</v>
      </c>
      <c r="I10" s="601">
        <f>SUM(I11:I12)</f>
        <v>1595593567.1579618</v>
      </c>
      <c r="J10" s="602"/>
      <c r="K10" s="602">
        <f>1595593567.56-I10</f>
        <v>0.4020380973815918</v>
      </c>
      <c r="L10" s="602"/>
      <c r="M10" s="602"/>
      <c r="N10" s="602"/>
      <c r="O10" s="602"/>
      <c r="P10" s="602"/>
      <c r="Q10" s="602"/>
      <c r="R10" s="602"/>
      <c r="S10" s="602"/>
      <c r="T10" s="602"/>
      <c r="U10" s="602"/>
      <c r="V10" s="838">
        <f>V9+V8+V7</f>
        <v>52605.469230609233</v>
      </c>
      <c r="W10" s="838">
        <f>W9+W8+W7</f>
        <v>25601.580153408002</v>
      </c>
      <c r="X10" s="245">
        <f>+X9+X8</f>
        <v>66650.334184017236</v>
      </c>
    </row>
    <row r="11" spans="1:28" x14ac:dyDescent="0.35">
      <c r="A11" s="312" t="s">
        <v>305</v>
      </c>
      <c r="B11" s="312" t="s">
        <v>252</v>
      </c>
      <c r="C11" s="312" t="s">
        <v>1042</v>
      </c>
      <c r="D11" s="312" t="s">
        <v>1045</v>
      </c>
      <c r="E11" s="245" t="s">
        <v>1042</v>
      </c>
      <c r="F11" s="245" t="s">
        <v>1045</v>
      </c>
      <c r="I11" s="604">
        <f>SUM(J11:U11)</f>
        <v>1203836752.081898</v>
      </c>
      <c r="J11" s="603">
        <v>125762035.45088001</v>
      </c>
      <c r="K11" s="603">
        <v>123145239.23559099</v>
      </c>
      <c r="L11" s="603">
        <v>114835443.90669701</v>
      </c>
      <c r="M11" s="603">
        <v>115520460.35973699</v>
      </c>
      <c r="N11" s="603">
        <v>115885194.86589</v>
      </c>
      <c r="O11" s="603">
        <v>113221508.56944001</v>
      </c>
      <c r="P11" s="603">
        <f>112403345.84689-4207490.74</f>
        <v>108195855.10689001</v>
      </c>
      <c r="Q11" s="603">
        <v>52058421.800677598</v>
      </c>
      <c r="R11" s="603">
        <v>52226481.166931197</v>
      </c>
      <c r="S11" s="603">
        <v>50842698.327594005</v>
      </c>
      <c r="T11" s="603">
        <v>117220795.08784001</v>
      </c>
      <c r="U11" s="603">
        <v>114922618.20373</v>
      </c>
      <c r="V11" s="605">
        <f>SUM(L11:T11)</f>
        <v>840006859.19169676</v>
      </c>
      <c r="W11" s="605">
        <f>U11+J11+K11</f>
        <v>363829892.89020097</v>
      </c>
    </row>
    <row r="12" spans="1:28" x14ac:dyDescent="0.35">
      <c r="A12" s="312" t="s">
        <v>305</v>
      </c>
      <c r="B12" s="312" t="s">
        <v>252</v>
      </c>
      <c r="C12" s="312" t="s">
        <v>1042</v>
      </c>
      <c r="D12" s="312" t="s">
        <v>1045</v>
      </c>
      <c r="E12" s="245" t="s">
        <v>1042</v>
      </c>
      <c r="F12" s="245" t="s">
        <v>1045</v>
      </c>
      <c r="I12" s="604">
        <f>SUM(J12:U12)</f>
        <v>391756815.07606375</v>
      </c>
      <c r="J12" s="603">
        <v>36087335.114669994</v>
      </c>
      <c r="K12" s="603">
        <f>35146308.263976+406198</f>
        <v>35552506.263976</v>
      </c>
      <c r="L12" s="603">
        <v>27841089.347015701</v>
      </c>
      <c r="M12" s="603">
        <v>26800579.239902399</v>
      </c>
      <c r="N12" s="603">
        <v>26844691.040479999</v>
      </c>
      <c r="O12" s="603">
        <v>26549108.482487999</v>
      </c>
      <c r="P12" s="603">
        <v>25135637.487506881</v>
      </c>
      <c r="Q12" s="603">
        <v>23720157.2811024</v>
      </c>
      <c r="R12" s="603">
        <v>26687542.301759999</v>
      </c>
      <c r="S12" s="603">
        <v>28624607.107199997</v>
      </c>
      <c r="T12" s="603">
        <v>33041269.382399995</v>
      </c>
      <c r="U12" s="603">
        <f>38129908.0275624+36742384</f>
        <v>74872292.02756241</v>
      </c>
      <c r="V12" s="605">
        <f>SUM(L12:T12)</f>
        <v>245244681.66985539</v>
      </c>
      <c r="W12" s="605">
        <f>U12+J12+K12</f>
        <v>146512133.4062084</v>
      </c>
    </row>
    <row r="13" spans="1:28" x14ac:dyDescent="0.35">
      <c r="A13" s="247" t="s">
        <v>1483</v>
      </c>
      <c r="I13" s="601">
        <f>SUM(I14:I15)</f>
        <v>61340986.456276469</v>
      </c>
      <c r="J13" s="611"/>
      <c r="K13" s="611"/>
      <c r="L13" s="611"/>
      <c r="M13" s="637"/>
      <c r="N13" s="637"/>
      <c r="O13" s="637"/>
      <c r="P13" s="611"/>
      <c r="Q13" s="611"/>
      <c r="R13" s="611"/>
      <c r="S13" s="611"/>
      <c r="T13" s="611"/>
      <c r="U13" s="611"/>
      <c r="V13" s="611">
        <f>+V12+V11</f>
        <v>1085251540.8615522</v>
      </c>
      <c r="W13" s="611">
        <f>+W12+W11</f>
        <v>510342026.29640937</v>
      </c>
    </row>
    <row r="14" spans="1:28" x14ac:dyDescent="0.35">
      <c r="A14" s="312" t="s">
        <v>305</v>
      </c>
      <c r="B14" s="312" t="s">
        <v>252</v>
      </c>
      <c r="C14" s="312" t="s">
        <v>1042</v>
      </c>
      <c r="D14" s="312" t="s">
        <v>1045</v>
      </c>
      <c r="I14" s="604">
        <f>SUM(J14:U14)</f>
        <v>15243600.432479998</v>
      </c>
      <c r="J14" s="603">
        <v>1648124.8702799999</v>
      </c>
      <c r="K14" s="603">
        <v>1648124.8702799999</v>
      </c>
      <c r="L14" s="603">
        <v>1219211.5818400001</v>
      </c>
      <c r="M14" s="603">
        <v>1219211.5818400001</v>
      </c>
      <c r="N14" s="603">
        <v>1219211.5818400001</v>
      </c>
      <c r="O14" s="603">
        <v>1171067.6880000001</v>
      </c>
      <c r="P14" s="603">
        <v>1171067.6880000001</v>
      </c>
      <c r="Q14" s="603">
        <v>1158055.8248000001</v>
      </c>
      <c r="R14" s="603">
        <v>1158055.8248000001</v>
      </c>
      <c r="S14" s="603">
        <v>1158055.8248000001</v>
      </c>
      <c r="T14" s="603">
        <v>1106008.372</v>
      </c>
      <c r="U14" s="603">
        <v>1367404.7239999999</v>
      </c>
      <c r="V14" s="605">
        <f>SUM(L14:T14)</f>
        <v>10579945.96792</v>
      </c>
      <c r="W14" s="605">
        <f>U14+J14+K14</f>
        <v>4663654.4645600002</v>
      </c>
    </row>
    <row r="15" spans="1:28" x14ac:dyDescent="0.35">
      <c r="A15" s="312" t="s">
        <v>305</v>
      </c>
      <c r="B15" s="312" t="s">
        <v>252</v>
      </c>
      <c r="C15" s="312" t="s">
        <v>1042</v>
      </c>
      <c r="D15" s="312" t="s">
        <v>1045</v>
      </c>
      <c r="I15" s="604">
        <f>SUM(J15:U15)</f>
        <v>46097386.023796469</v>
      </c>
      <c r="J15" s="603">
        <v>5199248.1144239996</v>
      </c>
      <c r="K15" s="603">
        <v>2847016.8521071197</v>
      </c>
      <c r="L15" s="603">
        <v>5401251.7562207999</v>
      </c>
      <c r="M15" s="603">
        <v>5358379.5717671039</v>
      </c>
      <c r="N15" s="603">
        <v>4206983.9163028793</v>
      </c>
      <c r="O15" s="603">
        <v>4491436.4962848006</v>
      </c>
      <c r="P15" s="603">
        <v>5108623.2004032005</v>
      </c>
      <c r="Q15" s="603">
        <v>2209783.1850710399</v>
      </c>
      <c r="R15" s="603">
        <v>2794785.3406915199</v>
      </c>
      <c r="S15" s="603">
        <v>2751007.5902447999</v>
      </c>
      <c r="T15" s="603">
        <v>1884815.9911776001</v>
      </c>
      <c r="U15" s="603">
        <v>3844054.009101599</v>
      </c>
      <c r="V15" s="605">
        <f>SUM(L15:T15)</f>
        <v>34207067.048163749</v>
      </c>
      <c r="W15" s="605">
        <f>U15+J15+K15</f>
        <v>11890318.97563272</v>
      </c>
    </row>
    <row r="16" spans="1:28" x14ac:dyDescent="0.35">
      <c r="A16" s="247" t="s">
        <v>537</v>
      </c>
      <c r="I16" s="601">
        <f>SUM(I17:I20)</f>
        <v>494394.74063754594</v>
      </c>
      <c r="J16" s="602"/>
      <c r="K16" s="602"/>
      <c r="L16" s="602"/>
      <c r="M16" s="602"/>
      <c r="N16" s="602"/>
      <c r="O16" s="602"/>
      <c r="P16" s="602"/>
      <c r="Q16" s="602"/>
      <c r="R16" s="602"/>
      <c r="S16" s="602"/>
      <c r="T16" s="602"/>
      <c r="U16" s="602"/>
      <c r="V16" s="603">
        <f>+V15+V14</f>
        <v>44787013.016083747</v>
      </c>
      <c r="W16" s="603">
        <f>+W15+W14</f>
        <v>16553973.44019272</v>
      </c>
    </row>
    <row r="17" spans="1:26" x14ac:dyDescent="0.35">
      <c r="A17" s="311" t="s">
        <v>371</v>
      </c>
      <c r="B17" s="311" t="s">
        <v>371</v>
      </c>
      <c r="C17" s="311" t="s">
        <v>838</v>
      </c>
      <c r="D17" s="311" t="s">
        <v>838</v>
      </c>
      <c r="E17" s="245" t="s">
        <v>839</v>
      </c>
      <c r="F17" s="245" t="s">
        <v>839</v>
      </c>
      <c r="I17" s="604">
        <f>SUM(J17:U17)</f>
        <v>218049.892994986</v>
      </c>
      <c r="J17" s="606">
        <f>'Tariff SUMMARY 26-27'!$B$10*'Annexure A'!$O$27</f>
        <v>18170.824416248837</v>
      </c>
      <c r="K17" s="606">
        <f>'Tariff SUMMARY 26-27'!$B$10*'Annexure A'!$O$27</f>
        <v>18170.824416248837</v>
      </c>
      <c r="L17" s="606">
        <f>'Tariff SUMMARY 26-27'!$B$10*'Annexure A'!$O$27</f>
        <v>18170.824416248837</v>
      </c>
      <c r="M17" s="606">
        <f>'Tariff SUMMARY 26-27'!$B$10*'Annexure A'!$O$27</f>
        <v>18170.824416248837</v>
      </c>
      <c r="N17" s="606">
        <f>'Tariff SUMMARY 26-27'!$B$10*'Annexure A'!$O$27</f>
        <v>18170.824416248837</v>
      </c>
      <c r="O17" s="606">
        <f>'Tariff SUMMARY 26-27'!$B$10*'Annexure A'!$O$27</f>
        <v>18170.824416248837</v>
      </c>
      <c r="P17" s="606">
        <f>'Tariff SUMMARY 26-27'!$B$10*'Annexure A'!$O$27</f>
        <v>18170.824416248837</v>
      </c>
      <c r="Q17" s="606">
        <f>'Tariff SUMMARY 26-27'!$B$10*'Annexure A'!$O$27</f>
        <v>18170.824416248837</v>
      </c>
      <c r="R17" s="606">
        <f>'Tariff SUMMARY 26-27'!$B$10*'Annexure A'!$O$27</f>
        <v>18170.824416248837</v>
      </c>
      <c r="S17" s="606">
        <f>'Tariff SUMMARY 26-27'!$B$10*'Annexure A'!$O$27</f>
        <v>18170.824416248837</v>
      </c>
      <c r="T17" s="606">
        <f>'Tariff SUMMARY 26-27'!$B$10*'Annexure A'!$O$27</f>
        <v>18170.824416248837</v>
      </c>
      <c r="U17" s="606">
        <f>'Tariff SUMMARY 26-27'!$B$10*'Annexure A'!$O$27</f>
        <v>18170.824416248837</v>
      </c>
      <c r="V17" s="605">
        <f>SUM(L17:T17)</f>
        <v>163537.41974623952</v>
      </c>
      <c r="W17" s="605">
        <f>U17+J17+K17</f>
        <v>54512.473248746508</v>
      </c>
      <c r="X17" s="245">
        <f>+V21+W21</f>
        <v>494394.74063754606</v>
      </c>
    </row>
    <row r="18" spans="1:26" x14ac:dyDescent="0.35">
      <c r="A18" s="311" t="s">
        <v>381</v>
      </c>
      <c r="B18" s="311" t="s">
        <v>375</v>
      </c>
      <c r="C18" s="311" t="s">
        <v>834</v>
      </c>
      <c r="D18" s="311" t="s">
        <v>836</v>
      </c>
      <c r="E18" s="245" t="s">
        <v>827</v>
      </c>
      <c r="F18" s="245" t="s">
        <v>830</v>
      </c>
      <c r="I18" s="604">
        <f>SUM(J18:U18)</f>
        <v>71018.888369087988</v>
      </c>
      <c r="J18" s="606">
        <v>7889.0696755199988</v>
      </c>
      <c r="K18" s="606">
        <v>3875.4376657919993</v>
      </c>
      <c r="L18" s="606">
        <v>1717.94850432</v>
      </c>
      <c r="M18" s="606">
        <v>1512.6629610240002</v>
      </c>
      <c r="N18" s="606">
        <v>1662.7508808959999</v>
      </c>
      <c r="O18" s="606">
        <v>1210.4714777280001</v>
      </c>
      <c r="P18" s="606">
        <v>1340.0928630720002</v>
      </c>
      <c r="Q18" s="606">
        <v>5106.2969984000001</v>
      </c>
      <c r="R18" s="606">
        <v>5698.8962026879999</v>
      </c>
      <c r="S18" s="606">
        <v>5724.4276876800004</v>
      </c>
      <c r="T18" s="606">
        <v>6634.1548108159996</v>
      </c>
      <c r="U18" s="606">
        <v>28646.678641151997</v>
      </c>
      <c r="V18" s="605">
        <f>SUM(L18:T18)</f>
        <v>30607.702386623998</v>
      </c>
      <c r="W18" s="605">
        <f>U18+J18+K18</f>
        <v>40411.185982463998</v>
      </c>
    </row>
    <row r="19" spans="1:26" x14ac:dyDescent="0.35">
      <c r="A19" s="311" t="s">
        <v>383</v>
      </c>
      <c r="B19" s="311" t="s">
        <v>377</v>
      </c>
      <c r="C19" s="311" t="s">
        <v>832</v>
      </c>
      <c r="D19" s="311" t="s">
        <v>835</v>
      </c>
      <c r="E19" s="245" t="s">
        <v>826</v>
      </c>
      <c r="F19" s="245" t="s">
        <v>829</v>
      </c>
      <c r="I19" s="604">
        <f>SUM(J19:U19)</f>
        <v>92715.574037407991</v>
      </c>
      <c r="J19" s="606">
        <v>7354.2918758399992</v>
      </c>
      <c r="K19" s="606">
        <v>3751.5395174399996</v>
      </c>
      <c r="L19" s="606">
        <v>2668.8617423999999</v>
      </c>
      <c r="M19" s="606">
        <v>2523.4989024000001</v>
      </c>
      <c r="N19" s="606">
        <v>2675.025126816</v>
      </c>
      <c r="O19" s="606">
        <v>1883.669825856</v>
      </c>
      <c r="P19" s="606">
        <v>2024.9625063359999</v>
      </c>
      <c r="Q19" s="606">
        <v>9322.6034719999989</v>
      </c>
      <c r="R19" s="606">
        <v>9977.7053376000003</v>
      </c>
      <c r="S19" s="606">
        <v>9394.6646772160002</v>
      </c>
      <c r="T19" s="606">
        <v>12306.844432063999</v>
      </c>
      <c r="U19" s="606">
        <v>28831.906621440001</v>
      </c>
      <c r="V19" s="605">
        <f>SUM(L19:T19)</f>
        <v>52777.836022687996</v>
      </c>
      <c r="W19" s="605">
        <f>U19+J19+K19</f>
        <v>39937.738014719995</v>
      </c>
    </row>
    <row r="20" spans="1:26" x14ac:dyDescent="0.35">
      <c r="A20" s="311" t="s">
        <v>379</v>
      </c>
      <c r="B20" s="311" t="s">
        <v>373</v>
      </c>
      <c r="C20" s="311" t="s">
        <v>833</v>
      </c>
      <c r="D20" s="311" t="s">
        <v>837</v>
      </c>
      <c r="E20" s="245" t="s">
        <v>828</v>
      </c>
      <c r="F20" s="245" t="s">
        <v>831</v>
      </c>
      <c r="I20" s="604">
        <f>SUM(J20:U20)</f>
        <v>112610.385236064</v>
      </c>
      <c r="J20" s="606">
        <v>10226.939014512001</v>
      </c>
      <c r="K20" s="606">
        <v>6363.4925898719994</v>
      </c>
      <c r="L20" s="606">
        <v>3047.2452360960001</v>
      </c>
      <c r="M20" s="606">
        <v>3000.7254048</v>
      </c>
      <c r="N20" s="606">
        <v>3088.0727673599995</v>
      </c>
      <c r="O20" s="606">
        <v>2851.1553143040001</v>
      </c>
      <c r="P20" s="606">
        <v>2774.5055500799999</v>
      </c>
      <c r="Q20" s="606">
        <v>11550.789053440001</v>
      </c>
      <c r="R20" s="606">
        <v>11950.558630400001</v>
      </c>
      <c r="S20" s="606">
        <v>11509.536235391999</v>
      </c>
      <c r="T20" s="606">
        <v>13223.016688128</v>
      </c>
      <c r="U20" s="606">
        <v>33024.348751680001</v>
      </c>
      <c r="V20" s="605">
        <f>SUM(L20:T20)</f>
        <v>62995.604880000006</v>
      </c>
      <c r="W20" s="605">
        <f>U20+J20+K20</f>
        <v>49614.780356064002</v>
      </c>
    </row>
    <row r="21" spans="1:26" x14ac:dyDescent="0.35">
      <c r="A21" s="247" t="s">
        <v>536</v>
      </c>
      <c r="B21" s="247"/>
      <c r="C21" s="247"/>
      <c r="D21" s="247"/>
      <c r="E21" s="247"/>
      <c r="F21" s="247"/>
      <c r="G21" s="247"/>
      <c r="H21" s="247"/>
      <c r="I21" s="601">
        <f>SUM(I22:I25)</f>
        <v>30962080.162302442</v>
      </c>
      <c r="J21" s="607"/>
      <c r="K21" s="607"/>
      <c r="L21" s="607"/>
      <c r="M21" s="607"/>
      <c r="N21" s="607"/>
      <c r="O21" s="607"/>
      <c r="P21" s="607"/>
      <c r="Q21" s="607"/>
      <c r="R21" s="607"/>
      <c r="S21" s="607"/>
      <c r="T21" s="607"/>
      <c r="U21" s="607"/>
      <c r="V21" s="603">
        <f>+V20+V19+V18+V17</f>
        <v>309918.56303555152</v>
      </c>
      <c r="W21" s="603">
        <f>+W20+W19+W18+W17</f>
        <v>184476.17760199451</v>
      </c>
    </row>
    <row r="22" spans="1:26" x14ac:dyDescent="0.35">
      <c r="A22" s="312" t="s">
        <v>368</v>
      </c>
      <c r="B22" s="312" t="s">
        <v>368</v>
      </c>
      <c r="C22" s="312" t="s">
        <v>839</v>
      </c>
      <c r="D22" s="312" t="s">
        <v>839</v>
      </c>
      <c r="F22" s="245" t="s">
        <v>838</v>
      </c>
      <c r="I22" s="604">
        <f>SUM(J22:U22)</f>
        <v>1539242.7276760554</v>
      </c>
      <c r="J22" s="259">
        <f>'Tariff SUMMARY 26-27'!$B$11*'Annexure A'!$O$35</f>
        <v>128270.22730633793</v>
      </c>
      <c r="K22" s="259">
        <f>'Tariff SUMMARY 26-27'!$B$11*'Annexure A'!$O$35</f>
        <v>128270.22730633793</v>
      </c>
      <c r="L22" s="259">
        <f>'Tariff SUMMARY 26-27'!$B$11*'Annexure A'!$O$35</f>
        <v>128270.22730633793</v>
      </c>
      <c r="M22" s="259">
        <f>'Tariff SUMMARY 26-27'!$B$11*'Annexure A'!$O$35</f>
        <v>128270.22730633793</v>
      </c>
      <c r="N22" s="259">
        <f>'Tariff SUMMARY 26-27'!$B$11*'Annexure A'!$O$35</f>
        <v>128270.22730633793</v>
      </c>
      <c r="O22" s="259">
        <f>'Tariff SUMMARY 26-27'!$B$11*'Annexure A'!$O$35</f>
        <v>128270.22730633793</v>
      </c>
      <c r="P22" s="259">
        <f>'Tariff SUMMARY 26-27'!$B$11*'Annexure A'!$O$35</f>
        <v>128270.22730633793</v>
      </c>
      <c r="Q22" s="259">
        <f>'Tariff SUMMARY 26-27'!$B$11*'Annexure A'!$O$35</f>
        <v>128270.22730633793</v>
      </c>
      <c r="R22" s="259">
        <f>'Tariff SUMMARY 26-27'!$B$11*'Annexure A'!$O$35</f>
        <v>128270.22730633793</v>
      </c>
      <c r="S22" s="259">
        <f>'Tariff SUMMARY 26-27'!$B$11*'Annexure A'!$O$35</f>
        <v>128270.22730633793</v>
      </c>
      <c r="T22" s="259">
        <f>'Tariff SUMMARY 26-27'!$B$11*'Annexure A'!$O$35</f>
        <v>128270.22730633793</v>
      </c>
      <c r="U22" s="259">
        <f>'Tariff SUMMARY 26-27'!$B$11*'Annexure A'!$O$35</f>
        <v>128270.22730633793</v>
      </c>
      <c r="V22" s="605">
        <f>SUM(L22:T22)</f>
        <v>1154432.0457570413</v>
      </c>
      <c r="W22" s="605">
        <f>U22+J22+K22</f>
        <v>384810.68191901379</v>
      </c>
    </row>
    <row r="23" spans="1:26" x14ac:dyDescent="0.35">
      <c r="A23" s="312" t="s">
        <v>364</v>
      </c>
      <c r="B23" s="312" t="s">
        <v>358</v>
      </c>
      <c r="C23" s="312" t="s">
        <v>827</v>
      </c>
      <c r="D23" s="312" t="s">
        <v>830</v>
      </c>
      <c r="F23" s="245" t="s">
        <v>836</v>
      </c>
      <c r="I23" s="604">
        <f>SUM(J23:U23)</f>
        <v>8025453.3474392481</v>
      </c>
      <c r="J23" s="259">
        <v>1295042.32459008</v>
      </c>
      <c r="K23" s="259">
        <v>1277255.98919424</v>
      </c>
      <c r="L23" s="259">
        <v>591057.59875289607</v>
      </c>
      <c r="M23" s="259">
        <v>501436.34959932807</v>
      </c>
      <c r="N23" s="259">
        <v>476077.64143795206</v>
      </c>
      <c r="O23" s="259">
        <v>369531.80862576008</v>
      </c>
      <c r="P23" s="259">
        <v>392579.55561318406</v>
      </c>
      <c r="Q23" s="259">
        <v>417449.651104288</v>
      </c>
      <c r="R23" s="259">
        <v>438872.78938880004</v>
      </c>
      <c r="S23" s="259">
        <v>449894.22496480006</v>
      </c>
      <c r="T23" s="259">
        <v>559700.30953918397</v>
      </c>
      <c r="U23" s="259">
        <v>1256555.1046287357</v>
      </c>
      <c r="V23" s="605">
        <f>SUM(L23:T23)</f>
        <v>4196599.9290261921</v>
      </c>
      <c r="W23" s="605">
        <f>U23+J23+K23</f>
        <v>3828853.4184130556</v>
      </c>
    </row>
    <row r="24" spans="1:26" x14ac:dyDescent="0.35">
      <c r="A24" s="312" t="s">
        <v>366</v>
      </c>
      <c r="B24" s="312" t="s">
        <v>360</v>
      </c>
      <c r="C24" s="312" t="s">
        <v>826</v>
      </c>
      <c r="D24" s="312" t="s">
        <v>829</v>
      </c>
      <c r="F24" s="245" t="s">
        <v>835</v>
      </c>
      <c r="I24" s="604">
        <f>SUM(J24:U24)</f>
        <v>11149306.256207936</v>
      </c>
      <c r="J24" s="259">
        <v>1504158.2649599998</v>
      </c>
      <c r="K24" s="259">
        <v>1455816.5897932798</v>
      </c>
      <c r="L24" s="259">
        <v>921719.73880078411</v>
      </c>
      <c r="M24" s="259">
        <v>822158.01624510402</v>
      </c>
      <c r="N24" s="259">
        <v>788038.23724147188</v>
      </c>
      <c r="O24" s="259">
        <v>629942.63968820788</v>
      </c>
      <c r="P24" s="259">
        <v>676233.048451968</v>
      </c>
      <c r="Q24" s="259">
        <v>646317.5891788</v>
      </c>
      <c r="R24" s="259">
        <v>683615.15491852805</v>
      </c>
      <c r="S24" s="259">
        <v>686457.59927360003</v>
      </c>
      <c r="T24" s="259">
        <v>812470.04812019202</v>
      </c>
      <c r="U24" s="259">
        <v>1522379.3295359998</v>
      </c>
      <c r="V24" s="605">
        <f>SUM(L24:T24)</f>
        <v>6666952.0719186561</v>
      </c>
      <c r="W24" s="605">
        <f>U24+J24+K24</f>
        <v>4482354.1842892794</v>
      </c>
      <c r="Z24" s="245">
        <f>3578510707.1-'MSCOA - Tariff Structure'!Q6</f>
        <v>272273904.16000032</v>
      </c>
    </row>
    <row r="25" spans="1:26" x14ac:dyDescent="0.35">
      <c r="A25" s="312" t="s">
        <v>362</v>
      </c>
      <c r="B25" s="312" t="s">
        <v>356</v>
      </c>
      <c r="C25" s="312" t="s">
        <v>828</v>
      </c>
      <c r="D25" s="312" t="s">
        <v>831</v>
      </c>
      <c r="F25" s="245" t="s">
        <v>837</v>
      </c>
      <c r="I25" s="604">
        <f>SUM(J25:U25)</f>
        <v>10248077.8309792</v>
      </c>
      <c r="J25" s="259">
        <v>1339899.7699889999</v>
      </c>
      <c r="K25" s="259">
        <v>1410488.8490285999</v>
      </c>
      <c r="L25" s="259">
        <v>736376.9838353279</v>
      </c>
      <c r="M25" s="259">
        <v>743785.38146950398</v>
      </c>
      <c r="N25" s="259">
        <v>660789.76592678402</v>
      </c>
      <c r="O25" s="259">
        <v>643588.48580364801</v>
      </c>
      <c r="P25" s="259">
        <v>667186.11187251203</v>
      </c>
      <c r="Q25" s="259">
        <v>688821.92272115196</v>
      </c>
      <c r="R25" s="259">
        <v>666653.39110400004</v>
      </c>
      <c r="S25" s="259">
        <v>682175.164645568</v>
      </c>
      <c r="T25" s="259">
        <v>727258.72068608005</v>
      </c>
      <c r="U25" s="259">
        <v>1281053.2838970241</v>
      </c>
      <c r="V25" s="605">
        <f>SUM(L25:T25)</f>
        <v>6216635.9280645754</v>
      </c>
      <c r="W25" s="605">
        <f>U25+J25+K25</f>
        <v>4031441.9029146242</v>
      </c>
      <c r="Z25" s="245">
        <f>Z24/2</f>
        <v>136136952.08000016</v>
      </c>
    </row>
    <row r="26" spans="1:26" x14ac:dyDescent="0.35">
      <c r="A26" s="247" t="s">
        <v>545</v>
      </c>
      <c r="I26" s="601">
        <f>+I27</f>
        <v>83104871.201844469</v>
      </c>
      <c r="J26" s="602"/>
      <c r="K26" s="602"/>
      <c r="L26" s="602"/>
      <c r="M26" s="602"/>
      <c r="N26" s="602"/>
      <c r="O26" s="602"/>
      <c r="P26" s="602"/>
      <c r="Q26" s="602"/>
      <c r="R26" s="602"/>
      <c r="S26" s="602"/>
      <c r="T26" s="602"/>
      <c r="U26" s="602"/>
      <c r="V26" s="603">
        <f>+V25+V24+V23+V22</f>
        <v>18234619.974766463</v>
      </c>
      <c r="W26" s="603">
        <f>+W25+W24+W23+W22</f>
        <v>12727460.187535973</v>
      </c>
      <c r="X26" s="245">
        <f>+V26+W26</f>
        <v>30962080.162302434</v>
      </c>
    </row>
    <row r="27" spans="1:26" x14ac:dyDescent="0.35">
      <c r="A27" s="309" t="s">
        <v>313</v>
      </c>
      <c r="B27" s="309" t="s">
        <v>311</v>
      </c>
      <c r="C27" s="309" t="s">
        <v>510</v>
      </c>
      <c r="D27" s="309" t="s">
        <v>514</v>
      </c>
      <c r="E27" s="245" t="s">
        <v>510</v>
      </c>
      <c r="F27" s="245" t="s">
        <v>514</v>
      </c>
      <c r="I27" s="604">
        <f>SUM(J27:U27)</f>
        <v>83104871.201844469</v>
      </c>
      <c r="J27" s="608">
        <v>7104004.6272000009</v>
      </c>
      <c r="K27" s="608">
        <v>6950984.348952</v>
      </c>
      <c r="L27" s="608">
        <v>6422693.0508000003</v>
      </c>
      <c r="M27" s="608">
        <v>6836438.9574000007</v>
      </c>
      <c r="N27" s="608">
        <v>6677662.8196584508</v>
      </c>
      <c r="O27" s="608">
        <v>7237053.7668000003</v>
      </c>
      <c r="P27" s="608">
        <v>6220786.6190339997</v>
      </c>
      <c r="Q27" s="608">
        <v>6641653.9643999999</v>
      </c>
      <c r="R27" s="608">
        <v>6629273.8200000003</v>
      </c>
      <c r="S27" s="608">
        <v>6885734.7779999999</v>
      </c>
      <c r="T27" s="608">
        <v>7477871.6376</v>
      </c>
      <c r="U27" s="608">
        <v>8020712.8120000008</v>
      </c>
      <c r="V27" s="609">
        <f>SUM(L27:T27)</f>
        <v>61029169.413692445</v>
      </c>
      <c r="W27" s="609">
        <f>U27+J27+K27</f>
        <v>22075701.788152002</v>
      </c>
    </row>
    <row r="28" spans="1:26" x14ac:dyDescent="0.35">
      <c r="A28" s="247" t="s">
        <v>546</v>
      </c>
      <c r="I28" s="601">
        <f>+I29</f>
        <v>26374477.544500001</v>
      </c>
      <c r="J28" s="602"/>
      <c r="K28" s="602"/>
      <c r="L28" s="602"/>
      <c r="M28" s="602"/>
      <c r="N28" s="602"/>
      <c r="O28" s="602"/>
      <c r="P28" s="602"/>
      <c r="Q28" s="602"/>
      <c r="R28" s="602"/>
      <c r="S28" s="602"/>
      <c r="T28" s="602"/>
      <c r="U28" s="602"/>
      <c r="V28" s="603">
        <f>+V27</f>
        <v>61029169.413692445</v>
      </c>
      <c r="W28" s="603">
        <f>+W27</f>
        <v>22075701.788152002</v>
      </c>
      <c r="X28" s="245">
        <f>+W28+V28</f>
        <v>83104871.201844454</v>
      </c>
    </row>
    <row r="29" spans="1:26" x14ac:dyDescent="0.35">
      <c r="A29" s="309" t="s">
        <v>313</v>
      </c>
      <c r="B29" s="309" t="s">
        <v>311</v>
      </c>
      <c r="C29" s="309" t="s">
        <v>510</v>
      </c>
      <c r="D29" s="309" t="s">
        <v>514</v>
      </c>
      <c r="E29" s="245" t="s">
        <v>510</v>
      </c>
      <c r="F29" s="245" t="s">
        <v>514</v>
      </c>
      <c r="I29" s="604">
        <f>SUM(J29:U29)</f>
        <v>26374477.544500001</v>
      </c>
      <c r="J29" s="603">
        <v>3311948.2251599999</v>
      </c>
      <c r="K29" s="603">
        <v>4467372.432</v>
      </c>
      <c r="L29" s="603">
        <v>2864921.9507999998</v>
      </c>
      <c r="M29" s="603">
        <v>2139464.5272000004</v>
      </c>
      <c r="N29" s="603">
        <v>2279821.3074000003</v>
      </c>
      <c r="O29" s="603">
        <v>1755627.1668</v>
      </c>
      <c r="P29" s="603">
        <v>1710863.5050000001</v>
      </c>
      <c r="Q29" s="603">
        <v>1283981.2128000001</v>
      </c>
      <c r="R29" s="603">
        <v>985704.87599999993</v>
      </c>
      <c r="S29" s="603">
        <v>620879.31359999999</v>
      </c>
      <c r="T29" s="603">
        <v>406650.19589999999</v>
      </c>
      <c r="U29" s="603">
        <v>4547242.8318400001</v>
      </c>
      <c r="V29" s="609">
        <f>SUM(L29:T29)</f>
        <v>14047914.055500003</v>
      </c>
      <c r="W29" s="609">
        <f>U29+J29+K29</f>
        <v>12326563.489</v>
      </c>
    </row>
    <row r="30" spans="1:26" x14ac:dyDescent="0.35">
      <c r="A30" s="247" t="s">
        <v>539</v>
      </c>
      <c r="I30" s="601">
        <f>SUM(I31:I34)</f>
        <v>469732.26184575184</v>
      </c>
      <c r="J30" s="602"/>
      <c r="K30" s="602"/>
      <c r="L30" s="602"/>
      <c r="M30" s="602"/>
      <c r="N30" s="602"/>
      <c r="O30" s="602"/>
      <c r="P30" s="602"/>
      <c r="Q30" s="602"/>
      <c r="R30" s="602"/>
      <c r="S30" s="602"/>
      <c r="T30" s="602"/>
      <c r="U30" s="602"/>
      <c r="V30" s="603">
        <f>+V29</f>
        <v>14047914.055500003</v>
      </c>
      <c r="W30" s="603">
        <f>+W29</f>
        <v>12326563.489</v>
      </c>
      <c r="X30" s="245">
        <f>+W30+V30</f>
        <v>26374477.544500001</v>
      </c>
    </row>
    <row r="31" spans="1:26" x14ac:dyDescent="0.35">
      <c r="A31" s="311" t="s">
        <v>401</v>
      </c>
      <c r="B31" s="311" t="s">
        <v>401</v>
      </c>
      <c r="C31" s="311" t="s">
        <v>875</v>
      </c>
      <c r="D31" s="311" t="s">
        <v>875</v>
      </c>
      <c r="E31" s="245" t="s">
        <v>876</v>
      </c>
      <c r="F31" s="245" t="s">
        <v>876</v>
      </c>
      <c r="I31" s="604">
        <f>SUM(J31:U31)</f>
        <v>212777.71449075188</v>
      </c>
      <c r="J31" s="603">
        <f>'Tariff SUMMARY 26-27'!$B$16*'Annexure A'!$O$56</f>
        <v>17731.476207562653</v>
      </c>
      <c r="K31" s="603">
        <f>'Tariff SUMMARY 26-27'!$B$16*'Annexure A'!$O$56</f>
        <v>17731.476207562653</v>
      </c>
      <c r="L31" s="603">
        <f>'Tariff SUMMARY 26-27'!$B$16*'Annexure A'!$O$56</f>
        <v>17731.476207562653</v>
      </c>
      <c r="M31" s="603">
        <f>'Tariff SUMMARY 26-27'!$B$16*'Annexure A'!$O$56</f>
        <v>17731.476207562653</v>
      </c>
      <c r="N31" s="603">
        <f>'Tariff SUMMARY 26-27'!$B$16*'Annexure A'!$O$56</f>
        <v>17731.476207562653</v>
      </c>
      <c r="O31" s="603">
        <f>'Tariff SUMMARY 26-27'!$B$16*'Annexure A'!$O$56</f>
        <v>17731.476207562653</v>
      </c>
      <c r="P31" s="603">
        <f>'Tariff SUMMARY 26-27'!$B$16*'Annexure A'!$O$56</f>
        <v>17731.476207562653</v>
      </c>
      <c r="Q31" s="603">
        <f>'Tariff SUMMARY 26-27'!$B$16*'Annexure A'!$O$56</f>
        <v>17731.476207562653</v>
      </c>
      <c r="R31" s="603">
        <f>'Tariff SUMMARY 26-27'!$B$16*'Annexure A'!$O$56</f>
        <v>17731.476207562653</v>
      </c>
      <c r="S31" s="603">
        <f>'Tariff SUMMARY 26-27'!$B$16*'Annexure A'!$O$56</f>
        <v>17731.476207562653</v>
      </c>
      <c r="T31" s="603">
        <f>'Tariff SUMMARY 26-27'!$B$16*'Annexure A'!$O$56</f>
        <v>17731.476207562653</v>
      </c>
      <c r="U31" s="603">
        <f>'Tariff SUMMARY 26-27'!$B$16*'Annexure A'!$O$56</f>
        <v>17731.476207562653</v>
      </c>
      <c r="V31" s="605">
        <f>SUM(L31:T31)</f>
        <v>159583.28586806389</v>
      </c>
      <c r="W31" s="605">
        <f>U31+J31+K31</f>
        <v>53194.428622687963</v>
      </c>
    </row>
    <row r="32" spans="1:26" x14ac:dyDescent="0.35">
      <c r="A32" s="311" t="s">
        <v>403</v>
      </c>
      <c r="B32" s="311" t="s">
        <v>411</v>
      </c>
      <c r="C32" s="311" t="s">
        <v>871</v>
      </c>
      <c r="D32" s="311" t="s">
        <v>874</v>
      </c>
      <c r="E32" s="245" t="s">
        <v>864</v>
      </c>
      <c r="F32" s="245" t="s">
        <v>867</v>
      </c>
      <c r="I32" s="604">
        <f>SUM(J32:U32)</f>
        <v>67951.113794999997</v>
      </c>
      <c r="J32" s="603">
        <v>6676.9657500000003</v>
      </c>
      <c r="K32" s="603">
        <v>6674.3722499999994</v>
      </c>
      <c r="L32" s="603">
        <v>9254.9037599999992</v>
      </c>
      <c r="M32" s="603">
        <v>5577.1775399999997</v>
      </c>
      <c r="N32" s="603">
        <v>5162.4654599999994</v>
      </c>
      <c r="O32" s="603">
        <v>4747.3159199999991</v>
      </c>
      <c r="P32" s="603">
        <v>4448.9681999999993</v>
      </c>
      <c r="Q32" s="603">
        <v>4232.4255000000003</v>
      </c>
      <c r="R32" s="603">
        <v>4198.3036199999997</v>
      </c>
      <c r="S32" s="603">
        <v>4390.7860199999996</v>
      </c>
      <c r="T32" s="603">
        <v>5234.2089000000005</v>
      </c>
      <c r="U32" s="603">
        <v>7353.220875</v>
      </c>
      <c r="V32" s="605">
        <f>SUM(L32:T32)</f>
        <v>47246.554919999995</v>
      </c>
      <c r="W32" s="605">
        <f>U32+J32+K32</f>
        <v>20704.558874999999</v>
      </c>
    </row>
    <row r="33" spans="1:24" x14ac:dyDescent="0.35">
      <c r="A33" s="311" t="s">
        <v>405</v>
      </c>
      <c r="B33" s="311" t="s">
        <v>413</v>
      </c>
      <c r="C33" s="311" t="s">
        <v>870</v>
      </c>
      <c r="D33" s="311" t="s">
        <v>873</v>
      </c>
      <c r="E33" s="245" t="s">
        <v>863</v>
      </c>
      <c r="F33" s="245" t="s">
        <v>866</v>
      </c>
      <c r="I33" s="604">
        <f>SUM(J33:U33)</f>
        <v>96953.453549999991</v>
      </c>
      <c r="J33" s="603">
        <v>9935.4334499999986</v>
      </c>
      <c r="K33" s="603">
        <v>10526.936849999998</v>
      </c>
      <c r="L33" s="603">
        <v>12104.449874999998</v>
      </c>
      <c r="M33" s="603">
        <v>8010.2295000000004</v>
      </c>
      <c r="N33" s="603">
        <v>7450.2067500000003</v>
      </c>
      <c r="O33" s="603">
        <v>6806.2049999999999</v>
      </c>
      <c r="P33" s="603">
        <v>6642.6412500000006</v>
      </c>
      <c r="Q33" s="603">
        <v>6359.212125</v>
      </c>
      <c r="R33" s="603">
        <v>6190.7658749999991</v>
      </c>
      <c r="S33" s="603">
        <v>5930.7727499999992</v>
      </c>
      <c r="T33" s="603">
        <v>6349.935375</v>
      </c>
      <c r="U33" s="603">
        <v>10646.66475</v>
      </c>
      <c r="V33" s="605">
        <f>SUM(L33:T33)</f>
        <v>65844.418499999985</v>
      </c>
      <c r="W33" s="605">
        <f>U33+J33+K33</f>
        <v>31109.035049999999</v>
      </c>
    </row>
    <row r="34" spans="1:24" x14ac:dyDescent="0.35">
      <c r="A34" s="311" t="s">
        <v>407</v>
      </c>
      <c r="B34" s="311" t="s">
        <v>409</v>
      </c>
      <c r="C34" s="311" t="s">
        <v>872</v>
      </c>
      <c r="D34" s="311" t="s">
        <v>869</v>
      </c>
      <c r="E34" s="245" t="s">
        <v>865</v>
      </c>
      <c r="F34" s="245" t="s">
        <v>868</v>
      </c>
      <c r="I34" s="604">
        <f>SUM(J34:U34)</f>
        <v>92049.980009999999</v>
      </c>
      <c r="J34" s="603">
        <v>8937.6042749999997</v>
      </c>
      <c r="K34" s="603">
        <v>10618.624620000001</v>
      </c>
      <c r="L34" s="603">
        <v>9040.278225</v>
      </c>
      <c r="M34" s="603">
        <v>7695.5071050000006</v>
      </c>
      <c r="N34" s="603">
        <v>7605.5687400000006</v>
      </c>
      <c r="O34" s="603">
        <v>8105.1004649999995</v>
      </c>
      <c r="P34" s="603">
        <v>7462.165755</v>
      </c>
      <c r="Q34" s="603">
        <v>5579.1237149999997</v>
      </c>
      <c r="R34" s="603">
        <v>5663.625</v>
      </c>
      <c r="S34" s="603">
        <v>5912.8244999999997</v>
      </c>
      <c r="T34" s="603">
        <v>6343.26</v>
      </c>
      <c r="U34" s="603">
        <v>9086.2976099999996</v>
      </c>
      <c r="V34" s="605">
        <f>SUM(L34:T34)</f>
        <v>63407.453505000005</v>
      </c>
      <c r="W34" s="605">
        <f>U34+J34+K34</f>
        <v>28642.526505000002</v>
      </c>
    </row>
    <row r="35" spans="1:24" x14ac:dyDescent="0.35">
      <c r="A35" s="247" t="s">
        <v>538</v>
      </c>
      <c r="B35" s="248"/>
      <c r="C35" s="248"/>
      <c r="D35" s="248"/>
      <c r="E35" s="248"/>
      <c r="F35" s="248"/>
      <c r="G35" s="248"/>
      <c r="H35" s="248"/>
      <c r="I35" s="601">
        <f>SUM(I36:I39)</f>
        <v>70455914.006651938</v>
      </c>
      <c r="J35" s="607"/>
      <c r="K35" s="607"/>
      <c r="L35" s="607"/>
      <c r="M35" s="607"/>
      <c r="N35" s="607"/>
      <c r="O35" s="607"/>
      <c r="P35" s="607"/>
      <c r="Q35" s="607"/>
      <c r="R35" s="607"/>
      <c r="S35" s="607"/>
      <c r="T35" s="607"/>
      <c r="U35" s="607"/>
      <c r="V35" s="603">
        <f>+V34+V33+V32+V31</f>
        <v>336081.71279306384</v>
      </c>
      <c r="W35" s="603">
        <f>+W34+W33+W32+W31</f>
        <v>133650.54905268794</v>
      </c>
      <c r="X35" s="245">
        <f>+W35+V35</f>
        <v>469732.26184575178</v>
      </c>
    </row>
    <row r="36" spans="1:24" x14ac:dyDescent="0.35">
      <c r="A36" s="311" t="s">
        <v>392</v>
      </c>
      <c r="B36" s="311" t="s">
        <v>392</v>
      </c>
      <c r="C36" s="311" t="s">
        <v>876</v>
      </c>
      <c r="D36" s="311" t="s">
        <v>876</v>
      </c>
      <c r="E36" s="245" t="s">
        <v>875</v>
      </c>
      <c r="F36" s="245" t="s">
        <v>875</v>
      </c>
      <c r="I36" s="604">
        <f>SUM(J36:U36)</f>
        <v>10450696.458946936</v>
      </c>
      <c r="J36" s="603">
        <f>'Tariff SUMMARY 26-27'!$B$17*'Annexure A'!$O$64</f>
        <v>870891.37157891132</v>
      </c>
      <c r="K36" s="603">
        <f>'Tariff SUMMARY 26-27'!$B$17*'Annexure A'!$O$64</f>
        <v>870891.37157891132</v>
      </c>
      <c r="L36" s="603">
        <f>'Tariff SUMMARY 26-27'!$B$17*'Annexure A'!$O$64</f>
        <v>870891.37157891132</v>
      </c>
      <c r="M36" s="603">
        <f>'Tariff SUMMARY 26-27'!$B$17*'Annexure A'!$O$64</f>
        <v>870891.37157891132</v>
      </c>
      <c r="N36" s="603">
        <f>'Tariff SUMMARY 26-27'!$B$17*'Annexure A'!$O$64</f>
        <v>870891.37157891132</v>
      </c>
      <c r="O36" s="603">
        <f>'Tariff SUMMARY 26-27'!$B$17*'Annexure A'!$O$64</f>
        <v>870891.37157891132</v>
      </c>
      <c r="P36" s="603">
        <f>'Tariff SUMMARY 26-27'!$B$17*'Annexure A'!$O$64</f>
        <v>870891.37157891132</v>
      </c>
      <c r="Q36" s="603">
        <f>'Tariff SUMMARY 26-27'!$B$17*'Annexure A'!$O$64</f>
        <v>870891.37157891132</v>
      </c>
      <c r="R36" s="603">
        <f>'Tariff SUMMARY 26-27'!$B$17*'Annexure A'!$O$64</f>
        <v>870891.37157891132</v>
      </c>
      <c r="S36" s="603">
        <f>'Tariff SUMMARY 26-27'!$B$17*'Annexure A'!$O$64</f>
        <v>870891.37157891132</v>
      </c>
      <c r="T36" s="603">
        <f>'Tariff SUMMARY 26-27'!$B$17*'Annexure A'!$O$64</f>
        <v>870891.37157891132</v>
      </c>
      <c r="U36" s="603">
        <f>'Tariff SUMMARY 26-27'!$B$17*'Annexure A'!$O$64</f>
        <v>870891.37157891132</v>
      </c>
      <c r="V36" s="605">
        <f>SUM(L36:T36)</f>
        <v>7838022.3442102019</v>
      </c>
      <c r="W36" s="605">
        <f>U36+J36+K36</f>
        <v>2612674.114736734</v>
      </c>
    </row>
    <row r="37" spans="1:24" x14ac:dyDescent="0.35">
      <c r="A37" s="311" t="s">
        <v>396</v>
      </c>
      <c r="B37" s="311" t="s">
        <v>388</v>
      </c>
      <c r="C37" s="311" t="s">
        <v>864</v>
      </c>
      <c r="D37" s="311" t="s">
        <v>867</v>
      </c>
      <c r="E37" s="245" t="s">
        <v>871</v>
      </c>
      <c r="F37" s="245" t="s">
        <v>874</v>
      </c>
      <c r="I37" s="604">
        <f>SUM(J37:U37)</f>
        <v>16691445.795681998</v>
      </c>
      <c r="J37" s="608">
        <v>2062336.6763999998</v>
      </c>
      <c r="K37" s="608">
        <v>1798924.2180000001</v>
      </c>
      <c r="L37" s="608">
        <v>1193786.8104639999</v>
      </c>
      <c r="M37" s="608">
        <v>1261885.3920720001</v>
      </c>
      <c r="N37" s="608">
        <v>1230748.2724880001</v>
      </c>
      <c r="O37" s="608">
        <v>1168799.8535279999</v>
      </c>
      <c r="P37" s="608">
        <v>1038947.0268719998</v>
      </c>
      <c r="Q37" s="608">
        <v>1244374.2182400001</v>
      </c>
      <c r="R37" s="608">
        <v>1257208.6530319999</v>
      </c>
      <c r="S37" s="608">
        <v>1224291.88784</v>
      </c>
      <c r="T37" s="608">
        <v>1278222.073296</v>
      </c>
      <c r="U37" s="608">
        <v>1931920.7134499999</v>
      </c>
      <c r="V37" s="605">
        <f>SUM(L37:T37)</f>
        <v>10898264.187831998</v>
      </c>
      <c r="W37" s="605">
        <f>U37+J37+K37</f>
        <v>5793181.6078500003</v>
      </c>
    </row>
    <row r="38" spans="1:24" x14ac:dyDescent="0.35">
      <c r="A38" s="311" t="s">
        <v>398</v>
      </c>
      <c r="B38" s="311" t="s">
        <v>390</v>
      </c>
      <c r="C38" s="311" t="s">
        <v>863</v>
      </c>
      <c r="D38" s="311" t="s">
        <v>866</v>
      </c>
      <c r="E38" s="245" t="s">
        <v>870</v>
      </c>
      <c r="F38" s="245" t="s">
        <v>873</v>
      </c>
      <c r="I38" s="604">
        <f>SUM(J38:U38)</f>
        <v>24598545.905324999</v>
      </c>
      <c r="J38" s="608">
        <v>3076873.18848</v>
      </c>
      <c r="K38" s="608">
        <v>2760039.2289599995</v>
      </c>
      <c r="L38" s="608">
        <v>1702981.7574</v>
      </c>
      <c r="M38" s="608">
        <v>1860666.7821</v>
      </c>
      <c r="N38" s="608">
        <v>1795392.9</v>
      </c>
      <c r="O38" s="608">
        <v>1709080.406775</v>
      </c>
      <c r="P38" s="608">
        <v>1556373.5302499998</v>
      </c>
      <c r="Q38" s="608">
        <v>1822456.2719999999</v>
      </c>
      <c r="R38" s="608">
        <v>1654932.5215499999</v>
      </c>
      <c r="S38" s="608">
        <v>1699953.9564</v>
      </c>
      <c r="T38" s="608">
        <v>1876402.5262499999</v>
      </c>
      <c r="U38" s="608">
        <v>3083392.8351599993</v>
      </c>
      <c r="V38" s="605">
        <f>SUM(L38:T38)</f>
        <v>15678240.652724998</v>
      </c>
      <c r="W38" s="605">
        <f>U38+J38+K38</f>
        <v>8920305.2525999993</v>
      </c>
    </row>
    <row r="39" spans="1:24" x14ac:dyDescent="0.35">
      <c r="A39" s="311" t="s">
        <v>394</v>
      </c>
      <c r="B39" s="311" t="s">
        <v>386</v>
      </c>
      <c r="C39" s="311" t="s">
        <v>865</v>
      </c>
      <c r="D39" s="311" t="s">
        <v>868</v>
      </c>
      <c r="E39" s="245" t="s">
        <v>872</v>
      </c>
      <c r="F39" s="245" t="s">
        <v>869</v>
      </c>
      <c r="I39" s="604">
        <f>SUM(J39:U39)</f>
        <v>18715225.846698001</v>
      </c>
      <c r="J39" s="608">
        <v>1761855.0468479998</v>
      </c>
      <c r="K39" s="608">
        <v>2014655.3656319999</v>
      </c>
      <c r="L39" s="608">
        <v>1400282.5891780001</v>
      </c>
      <c r="M39" s="608">
        <v>1411437.8160079999</v>
      </c>
      <c r="N39" s="608">
        <v>1453952.156888</v>
      </c>
      <c r="O39" s="608">
        <v>1568450.77884</v>
      </c>
      <c r="P39" s="608">
        <v>1434976.8987179999</v>
      </c>
      <c r="Q39" s="608">
        <v>1382310.8649459998</v>
      </c>
      <c r="R39" s="608">
        <v>1348946.0120839998</v>
      </c>
      <c r="S39" s="608">
        <v>1480873.798096</v>
      </c>
      <c r="T39" s="608">
        <v>1449050.0251479999</v>
      </c>
      <c r="U39" s="608">
        <v>2008434.494312</v>
      </c>
      <c r="V39" s="605">
        <f>SUM(L39:T39)</f>
        <v>12930280.939905999</v>
      </c>
      <c r="W39" s="605">
        <f>U39+J39+K39</f>
        <v>5784944.9067919999</v>
      </c>
    </row>
    <row r="40" spans="1:24" s="330" customFormat="1" x14ac:dyDescent="0.35">
      <c r="A40" s="329" t="s">
        <v>254</v>
      </c>
      <c r="I40" s="601">
        <f>SUM(I41:I46)</f>
        <v>123330317.31188478</v>
      </c>
      <c r="J40" s="610"/>
      <c r="K40" s="610"/>
      <c r="L40" s="610"/>
      <c r="M40" s="610"/>
      <c r="N40" s="610"/>
      <c r="O40" s="610"/>
      <c r="P40" s="610"/>
      <c r="Q40" s="610"/>
      <c r="R40" s="610"/>
      <c r="S40" s="610"/>
      <c r="T40" s="610"/>
      <c r="U40" s="610"/>
      <c r="V40" s="611">
        <f>+V39+V38+V37+V36</f>
        <v>47344808.124673195</v>
      </c>
      <c r="W40" s="611">
        <f>+W39+W38+W37+W36</f>
        <v>23111105.881978735</v>
      </c>
      <c r="X40" s="330">
        <f>+W40+V40</f>
        <v>70455914.006651938</v>
      </c>
    </row>
    <row r="41" spans="1:24" x14ac:dyDescent="0.35">
      <c r="A41" s="311" t="s">
        <v>256</v>
      </c>
      <c r="B41" s="311" t="s">
        <v>256</v>
      </c>
      <c r="C41" s="311" t="s">
        <v>862</v>
      </c>
      <c r="D41" s="328" t="s">
        <v>1382</v>
      </c>
      <c r="E41" s="245" t="s">
        <v>862</v>
      </c>
      <c r="F41" s="245" t="s">
        <v>862</v>
      </c>
      <c r="I41" s="604">
        <f t="shared" ref="I41:I46" si="0">SUM(J41:U41)</f>
        <v>192857.86691778104</v>
      </c>
      <c r="J41" s="603">
        <f>'Tariff SUMMARY 26-27'!$B$18*'Annexure A'!$O$72</f>
        <v>16071.488909815083</v>
      </c>
      <c r="K41" s="603">
        <f>'Tariff SUMMARY 26-27'!$B$18*'Annexure A'!$O$72</f>
        <v>16071.488909815083</v>
      </c>
      <c r="L41" s="603">
        <f>'Tariff SUMMARY 26-27'!$B$18*'Annexure A'!$O$72</f>
        <v>16071.488909815083</v>
      </c>
      <c r="M41" s="603">
        <f>'Tariff SUMMARY 26-27'!$B$18*'Annexure A'!$O$72</f>
        <v>16071.488909815083</v>
      </c>
      <c r="N41" s="603">
        <f>'Tariff SUMMARY 26-27'!$B$18*'Annexure A'!$O$72</f>
        <v>16071.488909815083</v>
      </c>
      <c r="O41" s="603">
        <f>'Tariff SUMMARY 26-27'!$B$18*'Annexure A'!$O$72</f>
        <v>16071.488909815083</v>
      </c>
      <c r="P41" s="603">
        <f>'Tariff SUMMARY 26-27'!$B$18*'Annexure A'!$O$72</f>
        <v>16071.488909815083</v>
      </c>
      <c r="Q41" s="603">
        <f>'Tariff SUMMARY 26-27'!$B$18*'Annexure A'!$O$72</f>
        <v>16071.488909815083</v>
      </c>
      <c r="R41" s="603">
        <f>'Tariff SUMMARY 26-27'!$B$18*'Annexure A'!$O$72</f>
        <v>16071.488909815083</v>
      </c>
      <c r="S41" s="603">
        <f>'Tariff SUMMARY 26-27'!$B$18*'Annexure A'!$O$72</f>
        <v>16071.488909815083</v>
      </c>
      <c r="T41" s="603">
        <f>'Tariff SUMMARY 26-27'!$B$18*'Annexure A'!$O$72</f>
        <v>16071.488909815083</v>
      </c>
      <c r="U41" s="603">
        <f>'Tariff SUMMARY 26-27'!$B$18*'Annexure A'!$O$72</f>
        <v>16071.488909815083</v>
      </c>
      <c r="V41" s="605">
        <f t="shared" ref="V41:V46" si="1">SUM(L41:T41)</f>
        <v>144643.40018833577</v>
      </c>
      <c r="W41" s="605">
        <f t="shared" ref="W41:W46" si="2">U41+J41+K41</f>
        <v>48214.466729445252</v>
      </c>
    </row>
    <row r="42" spans="1:24" x14ac:dyDescent="0.35">
      <c r="A42" s="311" t="s">
        <v>256</v>
      </c>
      <c r="B42" s="311" t="s">
        <v>256</v>
      </c>
      <c r="C42" s="311" t="s">
        <v>862</v>
      </c>
      <c r="D42" s="311" t="s">
        <v>862</v>
      </c>
      <c r="E42" s="245" t="s">
        <v>862</v>
      </c>
      <c r="F42" s="245" t="s">
        <v>862</v>
      </c>
      <c r="I42" s="604">
        <f t="shared" si="0"/>
        <v>12346066.521615002</v>
      </c>
      <c r="J42" s="603">
        <v>897719.98036499997</v>
      </c>
      <c r="K42" s="603">
        <v>897719.98036499997</v>
      </c>
      <c r="L42" s="603">
        <v>1196958.2466150001</v>
      </c>
      <c r="M42" s="603">
        <v>1196958.2466150001</v>
      </c>
      <c r="N42" s="603">
        <v>1196958.2466150001</v>
      </c>
      <c r="O42" s="603">
        <v>1196958.2466150001</v>
      </c>
      <c r="P42" s="603">
        <v>1196958.2466150001</v>
      </c>
      <c r="Q42" s="603">
        <v>908216.20515000005</v>
      </c>
      <c r="R42" s="603">
        <v>875646.30046499998</v>
      </c>
      <c r="S42" s="603">
        <v>878677.54523999989</v>
      </c>
      <c r="T42" s="603">
        <v>913428.90983999998</v>
      </c>
      <c r="U42" s="603">
        <v>989866.36711500003</v>
      </c>
      <c r="V42" s="605">
        <f t="shared" si="1"/>
        <v>9560760.1937700007</v>
      </c>
      <c r="W42" s="605">
        <f t="shared" si="2"/>
        <v>2785306.3278449997</v>
      </c>
    </row>
    <row r="43" spans="1:24" x14ac:dyDescent="0.35">
      <c r="A43" s="311" t="s">
        <v>257</v>
      </c>
      <c r="B43" s="311" t="s">
        <v>257</v>
      </c>
      <c r="C43" s="311" t="s">
        <v>861</v>
      </c>
      <c r="D43" s="328" t="s">
        <v>1385</v>
      </c>
      <c r="E43" s="245" t="s">
        <v>861</v>
      </c>
      <c r="F43" s="245" t="s">
        <v>861</v>
      </c>
      <c r="I43" s="604">
        <f t="shared" si="0"/>
        <v>24766709.849765994</v>
      </c>
      <c r="J43" s="603">
        <v>2425641.2329350002</v>
      </c>
      <c r="K43" s="603">
        <v>2255237.2107330002</v>
      </c>
      <c r="L43" s="603">
        <v>2358999.6960899998</v>
      </c>
      <c r="M43" s="603">
        <v>1996054.8204869998</v>
      </c>
      <c r="N43" s="603">
        <v>1977633.9348600002</v>
      </c>
      <c r="O43" s="603">
        <v>1861183.3244670001</v>
      </c>
      <c r="P43" s="603">
        <v>1794883.5390929999</v>
      </c>
      <c r="Q43" s="603">
        <v>1762224.6133079999</v>
      </c>
      <c r="R43" s="603">
        <v>1744439.0966129999</v>
      </c>
      <c r="S43" s="603">
        <v>1746133.4137649999</v>
      </c>
      <c r="T43" s="603">
        <v>2244970.2264</v>
      </c>
      <c r="U43" s="603">
        <v>2599308.7410149998</v>
      </c>
      <c r="V43" s="605">
        <f t="shared" si="1"/>
        <v>17486522.665082999</v>
      </c>
      <c r="W43" s="605">
        <f t="shared" si="2"/>
        <v>7280187.1846830007</v>
      </c>
    </row>
    <row r="44" spans="1:24" x14ac:dyDescent="0.35">
      <c r="A44" s="311" t="s">
        <v>435</v>
      </c>
      <c r="B44" s="311" t="s">
        <v>258</v>
      </c>
      <c r="C44" s="311" t="s">
        <v>857</v>
      </c>
      <c r="D44" s="311" t="s">
        <v>859</v>
      </c>
      <c r="E44" s="245" t="s">
        <v>857</v>
      </c>
      <c r="F44" s="245" t="s">
        <v>859</v>
      </c>
      <c r="I44" s="604">
        <f t="shared" si="0"/>
        <v>22729547.810379002</v>
      </c>
      <c r="J44" s="603">
        <v>3625351.1806140002</v>
      </c>
      <c r="K44" s="603">
        <v>3325682.8260450005</v>
      </c>
      <c r="L44" s="603">
        <v>1750494.1190399998</v>
      </c>
      <c r="M44" s="603">
        <v>1568049.0949619999</v>
      </c>
      <c r="N44" s="603">
        <v>1517114.395002</v>
      </c>
      <c r="O44" s="603">
        <v>1092563.892522</v>
      </c>
      <c r="P44" s="603">
        <v>1190287.0931820001</v>
      </c>
      <c r="Q44" s="603">
        <v>1145792.3655900001</v>
      </c>
      <c r="R44" s="603">
        <v>1119971.62488</v>
      </c>
      <c r="S44" s="603">
        <v>1237872.3833400002</v>
      </c>
      <c r="T44" s="603">
        <v>1639956.1444020001</v>
      </c>
      <c r="U44" s="603">
        <v>3516412.6908</v>
      </c>
      <c r="V44" s="605">
        <f t="shared" si="1"/>
        <v>12262101.112920001</v>
      </c>
      <c r="W44" s="605">
        <f t="shared" si="2"/>
        <v>10467446.697459001</v>
      </c>
    </row>
    <row r="45" spans="1:24" x14ac:dyDescent="0.35">
      <c r="A45" s="311" t="s">
        <v>438</v>
      </c>
      <c r="B45" s="311" t="s">
        <v>259</v>
      </c>
      <c r="C45" s="311" t="s">
        <v>856</v>
      </c>
      <c r="D45" s="311" t="s">
        <v>858</v>
      </c>
      <c r="E45" s="245" t="s">
        <v>856</v>
      </c>
      <c r="F45" s="245" t="s">
        <v>858</v>
      </c>
      <c r="I45" s="604">
        <f t="shared" si="0"/>
        <v>31859388.168552</v>
      </c>
      <c r="J45" s="603">
        <v>4398379.4984400002</v>
      </c>
      <c r="K45" s="603">
        <v>4065247.3681380004</v>
      </c>
      <c r="L45" s="603">
        <v>2540926.7402340001</v>
      </c>
      <c r="M45" s="603">
        <v>2333232.1881060004</v>
      </c>
      <c r="N45" s="603">
        <v>2286950.8854</v>
      </c>
      <c r="O45" s="603">
        <v>1672966.6444860001</v>
      </c>
      <c r="P45" s="603">
        <v>1840689.8585340001</v>
      </c>
      <c r="Q45" s="603">
        <v>1788000.6958500003</v>
      </c>
      <c r="R45" s="603">
        <v>2088287.7816000001</v>
      </c>
      <c r="S45" s="603">
        <v>1943644.3884900003</v>
      </c>
      <c r="T45" s="603">
        <v>2530190.4464759999</v>
      </c>
      <c r="U45" s="603">
        <v>4370871.6727980003</v>
      </c>
      <c r="V45" s="605">
        <f t="shared" si="1"/>
        <v>19024889.629176002</v>
      </c>
      <c r="W45" s="605">
        <f t="shared" si="2"/>
        <v>12834498.539376002</v>
      </c>
    </row>
    <row r="46" spans="1:24" x14ac:dyDescent="0.35">
      <c r="A46" s="311" t="s">
        <v>491</v>
      </c>
      <c r="B46" s="311" t="s">
        <v>260</v>
      </c>
      <c r="C46" s="311" t="s">
        <v>490</v>
      </c>
      <c r="D46" s="311" t="s">
        <v>860</v>
      </c>
      <c r="E46" s="245" t="s">
        <v>490</v>
      </c>
      <c r="F46" s="245" t="s">
        <v>860</v>
      </c>
      <c r="I46" s="604">
        <f t="shared" si="0"/>
        <v>31435747.094655003</v>
      </c>
      <c r="J46" s="603">
        <v>4133852.9385600002</v>
      </c>
      <c r="K46" s="603">
        <v>4302516.7461600006</v>
      </c>
      <c r="L46" s="603">
        <v>2434177.8707070001</v>
      </c>
      <c r="M46" s="603">
        <v>2379595.0621470003</v>
      </c>
      <c r="N46" s="603">
        <v>2097248.1642900002</v>
      </c>
      <c r="O46" s="603">
        <v>1995564.9328500002</v>
      </c>
      <c r="P46" s="603">
        <v>1964804.586627</v>
      </c>
      <c r="Q46" s="603">
        <v>1553434.8929070001</v>
      </c>
      <c r="R46" s="603">
        <v>1967386.1607000001</v>
      </c>
      <c r="S46" s="603">
        <v>2018970.9593220004</v>
      </c>
      <c r="T46" s="603">
        <v>2345355.137385</v>
      </c>
      <c r="U46" s="603">
        <v>4242839.6430000002</v>
      </c>
      <c r="V46" s="605">
        <f t="shared" si="1"/>
        <v>18756537.766935002</v>
      </c>
      <c r="W46" s="605">
        <f t="shared" si="2"/>
        <v>12679209.327720001</v>
      </c>
    </row>
    <row r="47" spans="1:24" x14ac:dyDescent="0.35">
      <c r="A47" s="247" t="s">
        <v>261</v>
      </c>
      <c r="I47" s="601">
        <f>SUM(I48:I53)</f>
        <v>819501809.94078648</v>
      </c>
      <c r="J47" s="602"/>
      <c r="K47" s="602"/>
      <c r="L47" s="602"/>
      <c r="M47" s="602"/>
      <c r="N47" s="602"/>
      <c r="O47" s="602"/>
      <c r="P47" s="602"/>
      <c r="Q47" s="602"/>
      <c r="R47" s="602"/>
      <c r="S47" s="602"/>
      <c r="T47" s="602"/>
      <c r="U47" s="602"/>
      <c r="V47" s="603">
        <f>+V46+V45+V44+V43+V42+V41</f>
        <v>77235454.768072352</v>
      </c>
      <c r="W47" s="603">
        <f>+W46+W45+W44+W43+W42+W41</f>
        <v>46094862.543812454</v>
      </c>
      <c r="X47" s="245">
        <f>+W47+V47</f>
        <v>123330317.31188481</v>
      </c>
    </row>
    <row r="48" spans="1:24" x14ac:dyDescent="0.35">
      <c r="A48" s="311" t="s">
        <v>262</v>
      </c>
      <c r="B48" s="311" t="s">
        <v>262</v>
      </c>
      <c r="C48" s="311" t="s">
        <v>854</v>
      </c>
      <c r="D48" s="328" t="s">
        <v>1383</v>
      </c>
      <c r="E48" s="245" t="s">
        <v>854</v>
      </c>
      <c r="F48" s="245" t="s">
        <v>854</v>
      </c>
      <c r="I48" s="604">
        <f t="shared" ref="I48:I53" si="3">SUM(J48:U48)</f>
        <v>7028455.4966415176</v>
      </c>
      <c r="J48" s="603">
        <f>'Tariff SUMMARY 26-27'!$B$19*'Annexure A'!$O$82</f>
        <v>585704.62472012651</v>
      </c>
      <c r="K48" s="603">
        <f>'Tariff SUMMARY 26-27'!$B$19*'Annexure A'!$O$82</f>
        <v>585704.62472012651</v>
      </c>
      <c r="L48" s="603">
        <f>'Tariff SUMMARY 26-27'!$B$19*'Annexure A'!$O$82</f>
        <v>585704.62472012651</v>
      </c>
      <c r="M48" s="603">
        <f>'Tariff SUMMARY 26-27'!$B$19*'Annexure A'!$O$82</f>
        <v>585704.62472012651</v>
      </c>
      <c r="N48" s="603">
        <f>'Tariff SUMMARY 26-27'!$B$19*'Annexure A'!$O$82</f>
        <v>585704.62472012651</v>
      </c>
      <c r="O48" s="603">
        <f>'Tariff SUMMARY 26-27'!$B$19*'Annexure A'!$O$82</f>
        <v>585704.62472012651</v>
      </c>
      <c r="P48" s="603">
        <f>'Tariff SUMMARY 26-27'!$B$19*'Annexure A'!$O$82</f>
        <v>585704.62472012651</v>
      </c>
      <c r="Q48" s="603">
        <f>'Tariff SUMMARY 26-27'!$B$19*'Annexure A'!$O$82</f>
        <v>585704.62472012651</v>
      </c>
      <c r="R48" s="603">
        <f>'Tariff SUMMARY 26-27'!$B$19*'Annexure A'!$O$82</f>
        <v>585704.62472012651</v>
      </c>
      <c r="S48" s="603">
        <f>'Tariff SUMMARY 26-27'!$B$19*'Annexure A'!$O$82</f>
        <v>585704.62472012651</v>
      </c>
      <c r="T48" s="603">
        <f>'Tariff SUMMARY 26-27'!$B$19*'Annexure A'!$O$82</f>
        <v>585704.62472012651</v>
      </c>
      <c r="U48" s="603">
        <f>'Tariff SUMMARY 26-27'!$B$19*'Annexure A'!$O$82</f>
        <v>585704.62472012651</v>
      </c>
      <c r="V48" s="605">
        <f t="shared" ref="V48:V53" si="4">SUM(L48:T48)</f>
        <v>5271341.6224811384</v>
      </c>
      <c r="W48" s="605">
        <f t="shared" ref="W48:W53" si="5">U48+J48+K48</f>
        <v>1757113.8741603796</v>
      </c>
    </row>
    <row r="49" spans="1:24" x14ac:dyDescent="0.35">
      <c r="A49" s="311" t="s">
        <v>262</v>
      </c>
      <c r="B49" s="311" t="s">
        <v>262</v>
      </c>
      <c r="C49" s="311" t="s">
        <v>854</v>
      </c>
      <c r="D49" s="311" t="s">
        <v>854</v>
      </c>
      <c r="E49" s="245" t="s">
        <v>854</v>
      </c>
      <c r="F49" s="245" t="s">
        <v>854</v>
      </c>
      <c r="I49" s="604">
        <f t="shared" si="3"/>
        <v>77947021.310087994</v>
      </c>
      <c r="J49" s="603">
        <v>6541215.3910588808</v>
      </c>
      <c r="K49" s="603">
        <v>6516498.5891980808</v>
      </c>
      <c r="L49" s="603">
        <v>6473387.8882780802</v>
      </c>
      <c r="M49" s="603">
        <v>6485228.9607974403</v>
      </c>
      <c r="N49" s="603">
        <v>6516383.6273289612</v>
      </c>
      <c r="O49" s="603">
        <v>6442693.0692230398</v>
      </c>
      <c r="P49" s="603">
        <v>6422114.8946505599</v>
      </c>
      <c r="Q49" s="603">
        <v>6543284.7047030395</v>
      </c>
      <c r="R49" s="603">
        <v>6422459.7802579189</v>
      </c>
      <c r="S49" s="603">
        <v>6465340.5574396802</v>
      </c>
      <c r="T49" s="603">
        <v>6533742.8695660802</v>
      </c>
      <c r="U49" s="603">
        <v>6584670.9775862396</v>
      </c>
      <c r="V49" s="605">
        <f t="shared" si="4"/>
        <v>58304636.352244794</v>
      </c>
      <c r="W49" s="605">
        <f t="shared" si="5"/>
        <v>19642384.957843199</v>
      </c>
    </row>
    <row r="50" spans="1:24" x14ac:dyDescent="0.35">
      <c r="A50" s="311" t="s">
        <v>263</v>
      </c>
      <c r="B50" s="311" t="s">
        <v>263</v>
      </c>
      <c r="C50" s="311" t="s">
        <v>853</v>
      </c>
      <c r="D50" s="328" t="s">
        <v>1384</v>
      </c>
      <c r="E50" s="245" t="s">
        <v>853</v>
      </c>
      <c r="F50" s="245" t="s">
        <v>853</v>
      </c>
      <c r="I50" s="604">
        <f t="shared" si="3"/>
        <v>178156428.86379784</v>
      </c>
      <c r="J50" s="603">
        <v>15223290.797083776</v>
      </c>
      <c r="K50" s="603">
        <v>14825830.503709633</v>
      </c>
      <c r="L50" s="603">
        <v>14591222.85801312</v>
      </c>
      <c r="M50" s="603">
        <v>14589974.945004096</v>
      </c>
      <c r="N50" s="603">
        <v>15121273.908596063</v>
      </c>
      <c r="O50" s="603">
        <v>14759379.135979103</v>
      </c>
      <c r="P50" s="603">
        <v>14958421.260918433</v>
      </c>
      <c r="Q50" s="603">
        <v>14919735.957638688</v>
      </c>
      <c r="R50" s="603">
        <v>14828950.286232192</v>
      </c>
      <c r="S50" s="603">
        <v>14628972.226536097</v>
      </c>
      <c r="T50" s="603">
        <v>14567824.48909392</v>
      </c>
      <c r="U50" s="603">
        <v>15141552.494992703</v>
      </c>
      <c r="V50" s="605">
        <f>SUM(L50:T50)+30386170.36</f>
        <v>163351925.42801172</v>
      </c>
      <c r="W50" s="605">
        <f t="shared" si="5"/>
        <v>45190673.795786113</v>
      </c>
    </row>
    <row r="51" spans="1:24" x14ac:dyDescent="0.35">
      <c r="A51" s="311" t="s">
        <v>423</v>
      </c>
      <c r="B51" s="311" t="s">
        <v>264</v>
      </c>
      <c r="C51" s="311" t="s">
        <v>849</v>
      </c>
      <c r="D51" s="311" t="s">
        <v>852</v>
      </c>
      <c r="E51" s="245" t="s">
        <v>849</v>
      </c>
      <c r="F51" s="245" t="s">
        <v>852</v>
      </c>
      <c r="I51" s="604">
        <f t="shared" si="3"/>
        <v>143829033.1879797</v>
      </c>
      <c r="J51" s="603">
        <v>20763180.760247968</v>
      </c>
      <c r="K51" s="603">
        <v>19858366.891298879</v>
      </c>
      <c r="L51" s="603">
        <v>9303100.2806691844</v>
      </c>
      <c r="M51" s="603">
        <v>9143626.0511490572</v>
      </c>
      <c r="N51" s="603">
        <v>9614995.7456705291</v>
      </c>
      <c r="O51" s="603">
        <v>8821527.4277979527</v>
      </c>
      <c r="P51" s="603">
        <v>9227353.5903193615</v>
      </c>
      <c r="Q51" s="603">
        <v>9274580.1010021754</v>
      </c>
      <c r="R51" s="603">
        <v>9785779.4219338242</v>
      </c>
      <c r="S51" s="603">
        <v>8581900.819839295</v>
      </c>
      <c r="T51" s="603">
        <v>9408512.3700492792</v>
      </c>
      <c r="U51" s="603">
        <v>20046109.728002176</v>
      </c>
      <c r="V51" s="605">
        <f t="shared" si="4"/>
        <v>83161375.808430657</v>
      </c>
      <c r="W51" s="605">
        <f t="shared" si="5"/>
        <v>60667657.379549026</v>
      </c>
    </row>
    <row r="52" spans="1:24" x14ac:dyDescent="0.35">
      <c r="A52" s="311" t="s">
        <v>425</v>
      </c>
      <c r="B52" s="311" t="s">
        <v>265</v>
      </c>
      <c r="C52" s="311" t="s">
        <v>848</v>
      </c>
      <c r="D52" s="311" t="s">
        <v>851</v>
      </c>
      <c r="E52" s="245" t="s">
        <v>848</v>
      </c>
      <c r="F52" s="245" t="s">
        <v>851</v>
      </c>
      <c r="I52" s="604">
        <f t="shared" si="3"/>
        <v>216360605.97116733</v>
      </c>
      <c r="J52" s="603">
        <v>26185485.96690125</v>
      </c>
      <c r="K52" s="603">
        <v>24878241.882943489</v>
      </c>
      <c r="L52" s="603">
        <v>15410763.727465473</v>
      </c>
      <c r="M52" s="603">
        <v>15371157.614890177</v>
      </c>
      <c r="N52" s="603">
        <v>15991099.362595009</v>
      </c>
      <c r="O52" s="603">
        <v>14924115.669576</v>
      </c>
      <c r="P52" s="603">
        <v>15713250.065402176</v>
      </c>
      <c r="Q52" s="603">
        <v>15619279.450551424</v>
      </c>
      <c r="R52" s="603">
        <v>16704811.683531009</v>
      </c>
      <c r="S52" s="603">
        <v>14687736.7026048</v>
      </c>
      <c r="T52" s="603">
        <v>15531752.729574081</v>
      </c>
      <c r="U52" s="603">
        <v>25342911.115132418</v>
      </c>
      <c r="V52" s="605">
        <f>SUM(L52:T52)+30386170.36</f>
        <v>170340137.36619014</v>
      </c>
      <c r="W52" s="605">
        <f t="shared" si="5"/>
        <v>76406638.964977145</v>
      </c>
    </row>
    <row r="53" spans="1:24" x14ac:dyDescent="0.35">
      <c r="A53" s="311" t="s">
        <v>421</v>
      </c>
      <c r="B53" s="311" t="s">
        <v>266</v>
      </c>
      <c r="C53" s="311" t="s">
        <v>850</v>
      </c>
      <c r="D53" s="311" t="s">
        <v>855</v>
      </c>
      <c r="E53" s="245" t="s">
        <v>850</v>
      </c>
      <c r="F53" s="245" t="s">
        <v>855</v>
      </c>
      <c r="I53" s="604">
        <f t="shared" si="3"/>
        <v>196180265.11111212</v>
      </c>
      <c r="J53" s="603">
        <v>22948935.0330057</v>
      </c>
      <c r="K53" s="603">
        <v>24054755.743569411</v>
      </c>
      <c r="L53" s="603">
        <v>13449601.29094784</v>
      </c>
      <c r="M53" s="603">
        <v>14179454.727334401</v>
      </c>
      <c r="N53" s="603">
        <v>13681124.058533121</v>
      </c>
      <c r="O53" s="603">
        <v>14426450.662749441</v>
      </c>
      <c r="P53" s="603">
        <v>14500029.914577922</v>
      </c>
      <c r="Q53" s="603">
        <v>12882413.334863361</v>
      </c>
      <c r="R53" s="603">
        <v>13823748.4243968</v>
      </c>
      <c r="S53" s="603">
        <v>14698093.224561922</v>
      </c>
      <c r="T53" s="603">
        <v>14606912.727803521</v>
      </c>
      <c r="U53" s="603">
        <v>22928745.968768641</v>
      </c>
      <c r="V53" s="605">
        <f t="shared" si="4"/>
        <v>126247828.36576834</v>
      </c>
      <c r="W53" s="605">
        <f t="shared" si="5"/>
        <v>69932436.745343745</v>
      </c>
    </row>
    <row r="54" spans="1:24" x14ac:dyDescent="0.35">
      <c r="A54" s="247" t="s">
        <v>267</v>
      </c>
      <c r="I54" s="601">
        <f>SUM(I55:I60)</f>
        <v>405999685.34575391</v>
      </c>
      <c r="J54" s="602"/>
      <c r="K54" s="602"/>
      <c r="L54" s="602"/>
      <c r="M54" s="602"/>
      <c r="N54" s="602"/>
      <c r="O54" s="602"/>
      <c r="P54" s="602"/>
      <c r="Q54" s="602"/>
      <c r="R54" s="602"/>
      <c r="S54" s="602"/>
      <c r="T54" s="602"/>
      <c r="U54" s="602"/>
      <c r="V54" s="603">
        <f>+V53+V52+V51+V50+V49+V48</f>
        <v>606677244.94312692</v>
      </c>
      <c r="W54" s="603">
        <f>+W53+W52+W51+W50+W49+W48</f>
        <v>273596905.71765965</v>
      </c>
      <c r="X54" s="245">
        <f>+W54+V54</f>
        <v>880274150.66078663</v>
      </c>
    </row>
    <row r="55" spans="1:24" x14ac:dyDescent="0.35">
      <c r="A55" s="311" t="s">
        <v>268</v>
      </c>
      <c r="B55" s="311" t="s">
        <v>268</v>
      </c>
      <c r="C55" s="311" t="s">
        <v>847</v>
      </c>
      <c r="D55" s="328" t="s">
        <v>1386</v>
      </c>
      <c r="E55" s="245" t="s">
        <v>847</v>
      </c>
      <c r="F55" s="245" t="s">
        <v>847</v>
      </c>
      <c r="I55" s="604">
        <f t="shared" ref="I55:I60" si="6">SUM(J55:U55)</f>
        <v>20619563.065964192</v>
      </c>
      <c r="J55" s="603">
        <f>'Tariff SUMMARY 26-27'!$B$20*'Annexure A'!$O$92</f>
        <v>1718296.9221636825</v>
      </c>
      <c r="K55" s="603">
        <f>'Tariff SUMMARY 26-27'!$B$20*'Annexure A'!$O$92</f>
        <v>1718296.9221636825</v>
      </c>
      <c r="L55" s="603">
        <f>'Tariff SUMMARY 26-27'!$B$20*'Annexure A'!$O$92</f>
        <v>1718296.9221636825</v>
      </c>
      <c r="M55" s="603">
        <f>'Tariff SUMMARY 26-27'!$B$20*'Annexure A'!$O$92</f>
        <v>1718296.9221636825</v>
      </c>
      <c r="N55" s="603">
        <f>'Tariff SUMMARY 26-27'!$B$20*'Annexure A'!$O$92</f>
        <v>1718296.9221636825</v>
      </c>
      <c r="O55" s="603">
        <f>'Tariff SUMMARY 26-27'!$B$20*'Annexure A'!$O$92</f>
        <v>1718296.9221636825</v>
      </c>
      <c r="P55" s="603">
        <f>'Tariff SUMMARY 26-27'!$B$20*'Annexure A'!$O$92</f>
        <v>1718296.9221636825</v>
      </c>
      <c r="Q55" s="603">
        <f>'Tariff SUMMARY 26-27'!$B$20*'Annexure A'!$O$92</f>
        <v>1718296.9221636825</v>
      </c>
      <c r="R55" s="603">
        <f>'Tariff SUMMARY 26-27'!$B$20*'Annexure A'!$O$92</f>
        <v>1718296.9221636825</v>
      </c>
      <c r="S55" s="603">
        <f>'Tariff SUMMARY 26-27'!$B$20*'Annexure A'!$O$92</f>
        <v>1718296.9221636825</v>
      </c>
      <c r="T55" s="603">
        <f>'Tariff SUMMARY 26-27'!$B$20*'Annexure A'!$O$92</f>
        <v>1718296.9221636825</v>
      </c>
      <c r="U55" s="603">
        <f>'Tariff SUMMARY 26-27'!$B$20*'Annexure A'!$O$92</f>
        <v>1718296.9221636825</v>
      </c>
      <c r="V55" s="605">
        <f t="shared" ref="V55:V60" si="7">SUM(L55:T55)</f>
        <v>15464672.29947314</v>
      </c>
      <c r="W55" s="605">
        <f t="shared" ref="W55:W60" si="8">U55+J55+K55</f>
        <v>5154890.766491048</v>
      </c>
    </row>
    <row r="56" spans="1:24" x14ac:dyDescent="0.35">
      <c r="A56" s="311" t="s">
        <v>268</v>
      </c>
      <c r="B56" s="311" t="s">
        <v>268</v>
      </c>
      <c r="C56" s="311" t="s">
        <v>847</v>
      </c>
      <c r="D56" s="311" t="s">
        <v>847</v>
      </c>
      <c r="E56" s="245" t="s">
        <v>847</v>
      </c>
      <c r="F56" s="245" t="s">
        <v>847</v>
      </c>
      <c r="I56" s="604">
        <f t="shared" si="6"/>
        <v>44910550.752904698</v>
      </c>
      <c r="J56" s="603">
        <v>4361329.3940312304</v>
      </c>
      <c r="K56" s="603">
        <v>4210430.4166804496</v>
      </c>
      <c r="L56" s="603">
        <v>4663856.3292997098</v>
      </c>
      <c r="M56" s="603">
        <v>3473227.9110522242</v>
      </c>
      <c r="N56" s="603">
        <v>3605902.3742302083</v>
      </c>
      <c r="O56" s="603">
        <v>3464115.6539658243</v>
      </c>
      <c r="P56" s="603">
        <v>3490358.9543746565</v>
      </c>
      <c r="Q56" s="603">
        <v>3569453.3458846086</v>
      </c>
      <c r="R56" s="603">
        <v>3474321.3819025918</v>
      </c>
      <c r="S56" s="603">
        <v>3512592.8616654724</v>
      </c>
      <c r="T56" s="603">
        <v>3541752.0843419521</v>
      </c>
      <c r="U56" s="603">
        <v>3543210.0454757758</v>
      </c>
      <c r="V56" s="605">
        <f t="shared" si="7"/>
        <v>32795580.896717247</v>
      </c>
      <c r="W56" s="605">
        <f t="shared" si="8"/>
        <v>12114969.856187455</v>
      </c>
      <c r="X56" s="245" t="e">
        <f>+#REF!+#REF!</f>
        <v>#REF!</v>
      </c>
    </row>
    <row r="57" spans="1:24" x14ac:dyDescent="0.35">
      <c r="A57" s="311" t="s">
        <v>269</v>
      </c>
      <c r="B57" s="311" t="s">
        <v>269</v>
      </c>
      <c r="C57" s="311" t="s">
        <v>846</v>
      </c>
      <c r="D57" s="311" t="s">
        <v>846</v>
      </c>
      <c r="E57" s="245" t="s">
        <v>846</v>
      </c>
      <c r="F57" s="245" t="s">
        <v>846</v>
      </c>
      <c r="I57" s="604">
        <f t="shared" si="6"/>
        <v>89722168.164113581</v>
      </c>
      <c r="J57" s="603">
        <v>8174609.7107887398</v>
      </c>
      <c r="K57" s="603">
        <v>8873963.2947437093</v>
      </c>
      <c r="L57" s="603">
        <v>8571393.3226274606</v>
      </c>
      <c r="M57" s="603">
        <v>7022252.5589522868</v>
      </c>
      <c r="N57" s="603">
        <v>7640930.7005230067</v>
      </c>
      <c r="O57" s="603">
        <v>6901584.756133534</v>
      </c>
      <c r="P57" s="603">
        <v>7182802.093211134</v>
      </c>
      <c r="Q57" s="603">
        <v>7425160.307347103</v>
      </c>
      <c r="R57" s="603">
        <v>6887268.2371550389</v>
      </c>
      <c r="S57" s="603">
        <v>6643887.4145206064</v>
      </c>
      <c r="T57" s="603">
        <v>6989529.0870014383</v>
      </c>
      <c r="U57" s="603">
        <v>7408786.6811095206</v>
      </c>
      <c r="V57" s="605">
        <f t="shared" si="7"/>
        <v>65264808.477471612</v>
      </c>
      <c r="W57" s="605">
        <f t="shared" si="8"/>
        <v>24457359.686641969</v>
      </c>
    </row>
    <row r="58" spans="1:24" x14ac:dyDescent="0.35">
      <c r="A58" s="311" t="s">
        <v>337</v>
      </c>
      <c r="B58" s="311" t="s">
        <v>330</v>
      </c>
      <c r="C58" s="311" t="s">
        <v>841</v>
      </c>
      <c r="D58" s="311" t="s">
        <v>844</v>
      </c>
      <c r="E58" s="245" t="s">
        <v>841</v>
      </c>
      <c r="F58" s="245" t="s">
        <v>844</v>
      </c>
      <c r="I58" s="604">
        <f t="shared" si="6"/>
        <v>74185608.244863167</v>
      </c>
      <c r="J58" s="603">
        <v>9721419.5498121902</v>
      </c>
      <c r="K58" s="603">
        <v>9031822.73801638</v>
      </c>
      <c r="L58" s="603">
        <f>8959360.93810088-227659</f>
        <v>8731701.93810088</v>
      </c>
      <c r="M58" s="603">
        <v>8686950.9619186409</v>
      </c>
      <c r="N58" s="603">
        <v>9946561.0011359993</v>
      </c>
      <c r="O58" s="603">
        <v>3258272.0705839195</v>
      </c>
      <c r="P58" s="603">
        <v>3568047.1012367997</v>
      </c>
      <c r="Q58" s="603">
        <v>3438112.7370751202</v>
      </c>
      <c r="R58" s="603">
        <v>3638120.8062700802</v>
      </c>
      <c r="S58" s="603">
        <v>3149291.5240082401</v>
      </c>
      <c r="T58" s="603">
        <v>3598737.9767726399</v>
      </c>
      <c r="U58" s="603">
        <v>7416569.8399322871</v>
      </c>
      <c r="V58" s="605">
        <f t="shared" si="7"/>
        <v>48015796.11710231</v>
      </c>
      <c r="W58" s="605">
        <f t="shared" si="8"/>
        <v>26169812.127760857</v>
      </c>
    </row>
    <row r="59" spans="1:24" x14ac:dyDescent="0.35">
      <c r="A59" s="311" t="s">
        <v>339</v>
      </c>
      <c r="B59" s="311" t="s">
        <v>332</v>
      </c>
      <c r="C59" s="311" t="s">
        <v>840</v>
      </c>
      <c r="D59" s="311" t="s">
        <v>843</v>
      </c>
      <c r="E59" s="245" t="s">
        <v>840</v>
      </c>
      <c r="F59" s="245" t="s">
        <v>843</v>
      </c>
      <c r="I59" s="604">
        <f t="shared" si="6"/>
        <v>96532231.487045854</v>
      </c>
      <c r="J59" s="603">
        <v>10451310.198039399</v>
      </c>
      <c r="K59" s="603">
        <v>10577876.7442769</v>
      </c>
      <c r="L59" s="603">
        <v>10393882.9084084</v>
      </c>
      <c r="M59" s="603">
        <v>9038272.7771191001</v>
      </c>
      <c r="N59" s="603">
        <v>11457174.5140344</v>
      </c>
      <c r="O59" s="603">
        <v>5420125.2142216805</v>
      </c>
      <c r="P59" s="603">
        <v>6045785.8582240799</v>
      </c>
      <c r="Q59" s="603">
        <v>6797141.434033921</v>
      </c>
      <c r="R59" s="603">
        <v>6171419.7631994402</v>
      </c>
      <c r="S59" s="603">
        <v>5307734.1318076802</v>
      </c>
      <c r="T59" s="603">
        <v>5769910.6734268796</v>
      </c>
      <c r="U59" s="603">
        <v>9101597.2702539843</v>
      </c>
      <c r="V59" s="605">
        <f t="shared" si="7"/>
        <v>66401447.274475582</v>
      </c>
      <c r="W59" s="605">
        <f t="shared" si="8"/>
        <v>30130784.212570284</v>
      </c>
    </row>
    <row r="60" spans="1:24" x14ac:dyDescent="0.35">
      <c r="A60" s="311" t="s">
        <v>335</v>
      </c>
      <c r="B60" s="311" t="s">
        <v>328</v>
      </c>
      <c r="C60" s="311" t="s">
        <v>842</v>
      </c>
      <c r="D60" s="311" t="s">
        <v>845</v>
      </c>
      <c r="E60" s="245" t="s">
        <v>842</v>
      </c>
      <c r="F60" s="245" t="s">
        <v>845</v>
      </c>
      <c r="I60" s="604">
        <f t="shared" si="6"/>
        <v>80029563.630862474</v>
      </c>
      <c r="J60" s="603">
        <v>9091077.0944329295</v>
      </c>
      <c r="K60" s="603">
        <v>9066070.9447564203</v>
      </c>
      <c r="L60" s="603">
        <v>8882441.8168996498</v>
      </c>
      <c r="M60" s="603">
        <v>8942161.8487185799</v>
      </c>
      <c r="N60" s="603">
        <v>9495025.7628362104</v>
      </c>
      <c r="O60" s="603">
        <v>4788738.228715919</v>
      </c>
      <c r="P60" s="603">
        <v>4954584.0522683505</v>
      </c>
      <c r="Q60" s="603">
        <v>4187993.9110771674</v>
      </c>
      <c r="R60" s="603">
        <v>4366268.0066715833</v>
      </c>
      <c r="S60" s="603">
        <v>4601464.5591770401</v>
      </c>
      <c r="T60" s="603">
        <v>4639932.7312835511</v>
      </c>
      <c r="U60" s="603">
        <v>7013804.6740250876</v>
      </c>
      <c r="V60" s="605">
        <f t="shared" si="7"/>
        <v>54858610.917648055</v>
      </c>
      <c r="W60" s="605">
        <f t="shared" si="8"/>
        <v>25170952.713214435</v>
      </c>
    </row>
    <row r="61" spans="1:24" x14ac:dyDescent="0.35">
      <c r="A61" s="247" t="s">
        <v>270</v>
      </c>
      <c r="I61" s="601">
        <f>SUM(I62:I66)</f>
        <v>67244816.395046115</v>
      </c>
      <c r="J61" s="602"/>
      <c r="K61" s="602"/>
      <c r="L61" s="602"/>
      <c r="M61" s="602"/>
      <c r="N61" s="602"/>
      <c r="O61" s="602"/>
      <c r="P61" s="602"/>
      <c r="Q61" s="602"/>
      <c r="R61" s="602"/>
      <c r="S61" s="602"/>
      <c r="T61" s="602"/>
      <c r="U61" s="602"/>
      <c r="V61" s="603">
        <f t="shared" ref="V61:W61" si="9">+V60+V59+V58+V57+V56+V55</f>
        <v>282800915.98288798</v>
      </c>
      <c r="W61" s="603">
        <f t="shared" si="9"/>
        <v>123198769.36286607</v>
      </c>
      <c r="X61" s="245">
        <f>+V61+W61</f>
        <v>405999685.34575403</v>
      </c>
    </row>
    <row r="62" spans="1:24" x14ac:dyDescent="0.35">
      <c r="A62" s="311" t="s">
        <v>520</v>
      </c>
      <c r="B62" s="311" t="s">
        <v>520</v>
      </c>
      <c r="C62" s="311" t="s">
        <v>519</v>
      </c>
      <c r="D62" s="328" t="s">
        <v>519</v>
      </c>
      <c r="E62" s="245" t="s">
        <v>519</v>
      </c>
      <c r="F62" s="245" t="s">
        <v>519</v>
      </c>
      <c r="I62" s="604">
        <f>SUM(J62:U62)</f>
        <v>1602400.7641036918</v>
      </c>
      <c r="J62" s="603">
        <f>'Tariff SUMMARY 26-27'!$B$12*'Annexure A'!$O$103</f>
        <v>133533.39700864101</v>
      </c>
      <c r="K62" s="603">
        <f>'Tariff SUMMARY 26-27'!$B$12*'Annexure A'!$O$103</f>
        <v>133533.39700864101</v>
      </c>
      <c r="L62" s="603">
        <f>'Tariff SUMMARY 26-27'!$B$12*'Annexure A'!$O$103</f>
        <v>133533.39700864101</v>
      </c>
      <c r="M62" s="603">
        <f>'Tariff SUMMARY 26-27'!$B$12*'Annexure A'!$O$103</f>
        <v>133533.39700864101</v>
      </c>
      <c r="N62" s="603">
        <f>'Tariff SUMMARY 26-27'!$B$12*'Annexure A'!$O$103</f>
        <v>133533.39700864101</v>
      </c>
      <c r="O62" s="603">
        <f>'Tariff SUMMARY 26-27'!$B$12*'Annexure A'!$O$103</f>
        <v>133533.39700864101</v>
      </c>
      <c r="P62" s="603">
        <f>'Tariff SUMMARY 26-27'!$B$12*'Annexure A'!$O$103</f>
        <v>133533.39700864101</v>
      </c>
      <c r="Q62" s="603">
        <f>'Tariff SUMMARY 26-27'!$B$12*'Annexure A'!$O$103</f>
        <v>133533.39700864101</v>
      </c>
      <c r="R62" s="603">
        <f>'Tariff SUMMARY 26-27'!$B$12*'Annexure A'!$O$103</f>
        <v>133533.39700864101</v>
      </c>
      <c r="S62" s="603">
        <f>'Tariff SUMMARY 26-27'!$B$12*'Annexure A'!$O$103</f>
        <v>133533.39700864101</v>
      </c>
      <c r="T62" s="603">
        <f>'Tariff SUMMARY 26-27'!$B$12*'Annexure A'!$O$103</f>
        <v>133533.39700864101</v>
      </c>
      <c r="U62" s="603">
        <f>'Tariff SUMMARY 26-27'!$B$12*'Annexure A'!$O$103</f>
        <v>133533.39700864101</v>
      </c>
      <c r="V62" s="605">
        <f>SUM(L62:T62)</f>
        <v>1201800.573077769</v>
      </c>
      <c r="W62" s="605">
        <f>U62+J62+K62</f>
        <v>400600.19102592301</v>
      </c>
    </row>
    <row r="63" spans="1:24" x14ac:dyDescent="0.35">
      <c r="A63" s="311" t="s">
        <v>518</v>
      </c>
      <c r="B63" s="311" t="s">
        <v>518</v>
      </c>
      <c r="C63" s="311" t="s">
        <v>517</v>
      </c>
      <c r="D63" s="311" t="s">
        <v>517</v>
      </c>
      <c r="E63" s="245" t="s">
        <v>517</v>
      </c>
      <c r="F63" s="245" t="s">
        <v>517</v>
      </c>
      <c r="I63" s="604">
        <f>SUM(J63:U63)</f>
        <v>2417249.9379754798</v>
      </c>
      <c r="J63" s="603">
        <v>253149.24492</v>
      </c>
      <c r="K63" s="603">
        <v>227906.44271999999</v>
      </c>
      <c r="L63" s="603">
        <v>198863.64808596001</v>
      </c>
      <c r="M63" s="603">
        <v>176574.90940055999</v>
      </c>
      <c r="N63" s="603">
        <v>172838.64684636</v>
      </c>
      <c r="O63" s="603">
        <v>145327.72969439998</v>
      </c>
      <c r="P63" s="603">
        <v>172373.0130108</v>
      </c>
      <c r="Q63" s="603">
        <v>185609.35102500001</v>
      </c>
      <c r="R63" s="603">
        <v>182393.64055080002</v>
      </c>
      <c r="S63" s="603">
        <v>184370.43707459999</v>
      </c>
      <c r="T63" s="603">
        <v>234391.587822</v>
      </c>
      <c r="U63" s="603">
        <v>283451.28682499996</v>
      </c>
      <c r="V63" s="605">
        <f>SUM(L63:T63)</f>
        <v>1652742.96351048</v>
      </c>
      <c r="W63" s="605">
        <f>U63+J63+K63</f>
        <v>764506.97446499998</v>
      </c>
    </row>
    <row r="64" spans="1:24" x14ac:dyDescent="0.35">
      <c r="A64" s="311" t="s">
        <v>498</v>
      </c>
      <c r="B64" s="311" t="s">
        <v>503</v>
      </c>
      <c r="C64" s="311" t="s">
        <v>497</v>
      </c>
      <c r="D64" s="311" t="s">
        <v>502</v>
      </c>
      <c r="E64" s="245" t="s">
        <v>497</v>
      </c>
      <c r="F64" s="245" t="s">
        <v>502</v>
      </c>
      <c r="I64" s="604">
        <f>SUM(J64:U64)</f>
        <v>16496668.819807965</v>
      </c>
      <c r="J64" s="603">
        <v>2264813.408088</v>
      </c>
      <c r="K64" s="603">
        <v>2098757.0763719999</v>
      </c>
      <c r="L64" s="603">
        <v>1212282.2439253679</v>
      </c>
      <c r="M64" s="603">
        <v>1072358.2797246</v>
      </c>
      <c r="N64" s="603">
        <v>1043813.333274096</v>
      </c>
      <c r="O64" s="603">
        <v>846411.57462734403</v>
      </c>
      <c r="P64" s="603">
        <v>969092.15996124002</v>
      </c>
      <c r="Q64" s="603">
        <v>1004608.25518032</v>
      </c>
      <c r="R64" s="603">
        <v>1165075.7788426401</v>
      </c>
      <c r="S64" s="603">
        <v>1056401.8710828801</v>
      </c>
      <c r="T64" s="603">
        <v>1435999.2019494798</v>
      </c>
      <c r="U64" s="603">
        <v>2327055.6367800003</v>
      </c>
      <c r="V64" s="605">
        <f>SUM(L64:T64)</f>
        <v>9806042.6985679679</v>
      </c>
      <c r="W64" s="605">
        <f>U64+J64+K64</f>
        <v>6690626.1212399993</v>
      </c>
    </row>
    <row r="65" spans="1:24" x14ac:dyDescent="0.35">
      <c r="A65" s="311" t="s">
        <v>496</v>
      </c>
      <c r="B65" s="311" t="s">
        <v>501</v>
      </c>
      <c r="C65" s="311" t="s">
        <v>495</v>
      </c>
      <c r="D65" s="311" t="s">
        <v>500</v>
      </c>
      <c r="E65" s="245" t="s">
        <v>495</v>
      </c>
      <c r="F65" s="245" t="s">
        <v>500</v>
      </c>
      <c r="I65" s="604">
        <f>SUM(J65:U65)</f>
        <v>24063936.519851197</v>
      </c>
      <c r="J65" s="603">
        <v>3320608.1594400001</v>
      </c>
      <c r="K65" s="603">
        <v>303355.84207500005</v>
      </c>
      <c r="L65" s="603">
        <v>1996344.9518495996</v>
      </c>
      <c r="M65" s="603">
        <v>1826574.4613952001</v>
      </c>
      <c r="N65" s="603">
        <v>1806247.4248895999</v>
      </c>
      <c r="O65" s="603">
        <v>1528284.7776768</v>
      </c>
      <c r="P65" s="603">
        <v>1775104.127104</v>
      </c>
      <c r="Q65" s="603">
        <v>1794742.0268959999</v>
      </c>
      <c r="R65" s="603">
        <v>2048688.3921279998</v>
      </c>
      <c r="S65" s="603">
        <v>1816176.0876</v>
      </c>
      <c r="T65" s="603">
        <v>2365769.7818720001</v>
      </c>
      <c r="U65" s="603">
        <v>3482040.4869249999</v>
      </c>
      <c r="V65" s="605">
        <f>SUM(L65:T65)</f>
        <v>16957932.031411201</v>
      </c>
      <c r="W65" s="605">
        <f>U65+J65+K65</f>
        <v>7106004.4884399995</v>
      </c>
    </row>
    <row r="66" spans="1:24" x14ac:dyDescent="0.35">
      <c r="A66" s="311" t="s">
        <v>492</v>
      </c>
      <c r="B66" s="311" t="s">
        <v>494</v>
      </c>
      <c r="C66" s="311" t="s">
        <v>499</v>
      </c>
      <c r="D66" s="311" t="s">
        <v>493</v>
      </c>
      <c r="E66" s="245" t="s">
        <v>499</v>
      </c>
      <c r="F66" s="245" t="s">
        <v>493</v>
      </c>
      <c r="I66" s="604">
        <f>SUM(J66:U66)</f>
        <v>22664560.353307776</v>
      </c>
      <c r="J66" s="603">
        <v>2799656.3761320002</v>
      </c>
      <c r="K66" s="603">
        <v>2884985.1505199997</v>
      </c>
      <c r="L66" s="603">
        <v>1521986.402124672</v>
      </c>
      <c r="M66" s="603">
        <v>1538157.6825658563</v>
      </c>
      <c r="N66" s="603">
        <v>1397098.4754629761</v>
      </c>
      <c r="O66" s="603">
        <v>1420106.7632843521</v>
      </c>
      <c r="P66" s="603">
        <v>1566907.1678523202</v>
      </c>
      <c r="Q66" s="603">
        <v>1417725.02989488</v>
      </c>
      <c r="R66" s="603">
        <v>1568546.74228448</v>
      </c>
      <c r="S66" s="603">
        <v>1670069.6765088004</v>
      </c>
      <c r="T66" s="603">
        <v>1941606.1649174399</v>
      </c>
      <c r="U66" s="603">
        <v>2937714.7217600001</v>
      </c>
      <c r="V66" s="605">
        <f>SUM(L66:T66)</f>
        <v>14042204.104895776</v>
      </c>
      <c r="W66" s="605">
        <f>U66+J66+K66</f>
        <v>8622356.248412</v>
      </c>
    </row>
    <row r="67" spans="1:24" x14ac:dyDescent="0.35">
      <c r="A67" s="247" t="s">
        <v>271</v>
      </c>
      <c r="I67" s="601">
        <f>SUM(I68:I72)</f>
        <v>90353461.261044443</v>
      </c>
      <c r="J67" s="602"/>
      <c r="K67" s="602"/>
      <c r="L67" s="602"/>
      <c r="M67" s="602"/>
      <c r="N67" s="602"/>
      <c r="O67" s="602"/>
      <c r="P67" s="602"/>
      <c r="Q67" s="602"/>
      <c r="R67" s="602"/>
      <c r="S67" s="602"/>
      <c r="T67" s="602"/>
      <c r="U67" s="602"/>
      <c r="V67" s="603">
        <f>+V66+V65+V64+V63+V62</f>
        <v>43660722.371463194</v>
      </c>
      <c r="W67" s="603">
        <f>+W66+W65+W64+W63+W62</f>
        <v>23584094.023582924</v>
      </c>
      <c r="X67" s="245">
        <f>+V67+W67</f>
        <v>67244816.395046115</v>
      </c>
    </row>
    <row r="68" spans="1:24" x14ac:dyDescent="0.35">
      <c r="A68" s="311" t="s">
        <v>342</v>
      </c>
      <c r="B68" s="311" t="s">
        <v>342</v>
      </c>
      <c r="C68" s="311" t="s">
        <v>1062</v>
      </c>
      <c r="D68" s="328" t="s">
        <v>1387</v>
      </c>
      <c r="E68" s="245" t="s">
        <v>1062</v>
      </c>
      <c r="F68" s="245" t="s">
        <v>1062</v>
      </c>
      <c r="I68" s="604">
        <f>SUM(J68:U68)</f>
        <v>8456226.5274644401</v>
      </c>
      <c r="J68" s="603">
        <f>'Tariff SUMMARY 26-27'!$B$13*'Annexure A'!$O$112</f>
        <v>704685.5439553702</v>
      </c>
      <c r="K68" s="603">
        <f>'Tariff SUMMARY 26-27'!$B$13*'Annexure A'!$O$112</f>
        <v>704685.5439553702</v>
      </c>
      <c r="L68" s="603">
        <f>'Tariff SUMMARY 26-27'!$B$13*'Annexure A'!$O$112</f>
        <v>704685.5439553702</v>
      </c>
      <c r="M68" s="603">
        <f>'Tariff SUMMARY 26-27'!$B$13*'Annexure A'!$O$112</f>
        <v>704685.5439553702</v>
      </c>
      <c r="N68" s="603">
        <f>'Tariff SUMMARY 26-27'!$B$13*'Annexure A'!$O$112</f>
        <v>704685.5439553702</v>
      </c>
      <c r="O68" s="603">
        <f>'Tariff SUMMARY 26-27'!$B$13*'Annexure A'!$O$112</f>
        <v>704685.5439553702</v>
      </c>
      <c r="P68" s="603">
        <f>'Tariff SUMMARY 26-27'!$B$13*'Annexure A'!$O$112</f>
        <v>704685.5439553702</v>
      </c>
      <c r="Q68" s="603">
        <f>'Tariff SUMMARY 26-27'!$B$13*'Annexure A'!$O$112</f>
        <v>704685.5439553702</v>
      </c>
      <c r="R68" s="603">
        <f>'Tariff SUMMARY 26-27'!$B$13*'Annexure A'!$O$112</f>
        <v>704685.5439553702</v>
      </c>
      <c r="S68" s="603">
        <f>'Tariff SUMMARY 26-27'!$B$13*'Annexure A'!$O$112</f>
        <v>704685.5439553702</v>
      </c>
      <c r="T68" s="603">
        <f>'Tariff SUMMARY 26-27'!$B$13*'Annexure A'!$O$112</f>
        <v>704685.5439553702</v>
      </c>
      <c r="U68" s="603">
        <f>'Tariff SUMMARY 26-27'!$B$13*'Annexure A'!$O$112</f>
        <v>704685.5439553702</v>
      </c>
      <c r="V68" s="605">
        <f>SUM(L68:T68)</f>
        <v>6342169.8955983305</v>
      </c>
      <c r="W68" s="605">
        <f>U68+J68+K68</f>
        <v>2114056.6318661105</v>
      </c>
    </row>
    <row r="69" spans="1:24" x14ac:dyDescent="0.35">
      <c r="A69" s="311" t="s">
        <v>272</v>
      </c>
      <c r="B69" s="311" t="s">
        <v>272</v>
      </c>
      <c r="C69" s="311" t="s">
        <v>1063</v>
      </c>
      <c r="D69" s="311" t="s">
        <v>1063</v>
      </c>
      <c r="E69" s="245" t="s">
        <v>1063</v>
      </c>
      <c r="F69" s="245" t="s">
        <v>1063</v>
      </c>
      <c r="I69" s="604">
        <f>SUM(J69:U69)</f>
        <v>2497164.0827000001</v>
      </c>
      <c r="J69" s="603">
        <v>261169.05723999997</v>
      </c>
      <c r="K69" s="603">
        <v>245458.59492</v>
      </c>
      <c r="L69" s="603">
        <v>225055.84849999999</v>
      </c>
      <c r="M69" s="603">
        <v>201385.88203999997</v>
      </c>
      <c r="N69" s="603">
        <v>192383.64809999999</v>
      </c>
      <c r="O69" s="603">
        <v>163673.82094000001</v>
      </c>
      <c r="P69" s="603">
        <v>175943.27492</v>
      </c>
      <c r="Q69" s="603">
        <v>170764.38357999999</v>
      </c>
      <c r="R69" s="603">
        <v>180218.46710000001</v>
      </c>
      <c r="S69" s="603">
        <v>185258.32779999997</v>
      </c>
      <c r="T69" s="603">
        <v>236282.57267999998</v>
      </c>
      <c r="U69" s="603">
        <v>259570.20488</v>
      </c>
      <c r="V69" s="605">
        <f>SUM(L69:T69)</f>
        <v>1730966.2256599998</v>
      </c>
      <c r="W69" s="605">
        <f>U69+J69+K69</f>
        <v>766197.85703999992</v>
      </c>
    </row>
    <row r="70" spans="1:24" x14ac:dyDescent="0.35">
      <c r="A70" s="311" t="s">
        <v>349</v>
      </c>
      <c r="B70" s="311" t="s">
        <v>345</v>
      </c>
      <c r="C70" s="311" t="s">
        <v>878</v>
      </c>
      <c r="D70" s="311" t="s">
        <v>881</v>
      </c>
      <c r="E70" s="245" t="s">
        <v>878</v>
      </c>
      <c r="F70" s="245" t="s">
        <v>881</v>
      </c>
      <c r="I70" s="604">
        <f>SUM(J70:U70)</f>
        <v>19219180.568924002</v>
      </c>
      <c r="J70" s="603">
        <v>2668846.9830399998</v>
      </c>
      <c r="K70" s="603">
        <v>2585099.105792</v>
      </c>
      <c r="L70" s="603">
        <v>1540627.1535200002</v>
      </c>
      <c r="M70" s="603">
        <v>1349828.99548</v>
      </c>
      <c r="N70" s="603">
        <v>1287768.88436</v>
      </c>
      <c r="O70" s="603">
        <v>992253.99918399996</v>
      </c>
      <c r="P70" s="603">
        <v>1056148.2930040001</v>
      </c>
      <c r="Q70" s="603">
        <v>976644.02547600004</v>
      </c>
      <c r="R70" s="603">
        <v>1229053.4593400001</v>
      </c>
      <c r="S70" s="603">
        <v>1135367.7227480002</v>
      </c>
      <c r="T70" s="603">
        <v>1653936.4871400001</v>
      </c>
      <c r="U70" s="603">
        <v>2743605.4598400001</v>
      </c>
      <c r="V70" s="605">
        <f>SUM(L70:T70)</f>
        <v>11221629.020252001</v>
      </c>
      <c r="W70" s="605">
        <f>U70+J70+K70</f>
        <v>7997551.5486719999</v>
      </c>
    </row>
    <row r="71" spans="1:24" x14ac:dyDescent="0.35">
      <c r="A71" s="311" t="s">
        <v>353</v>
      </c>
      <c r="B71" s="311" t="s">
        <v>273</v>
      </c>
      <c r="C71" s="311" t="s">
        <v>877</v>
      </c>
      <c r="D71" s="311" t="s">
        <v>880</v>
      </c>
      <c r="E71" s="245" t="s">
        <v>877</v>
      </c>
      <c r="F71" s="245" t="s">
        <v>880</v>
      </c>
      <c r="I71" s="604">
        <f>SUM(J71:U71)</f>
        <v>33845814.597839996</v>
      </c>
      <c r="J71" s="603">
        <v>4688578.210008</v>
      </c>
      <c r="K71" s="603">
        <v>4492872.4973439993</v>
      </c>
      <c r="L71" s="603">
        <v>2631038.5634399997</v>
      </c>
      <c r="M71" s="603">
        <v>2402999.044768</v>
      </c>
      <c r="N71" s="603">
        <v>2296652.5764559996</v>
      </c>
      <c r="O71" s="603">
        <v>1805372.0527919999</v>
      </c>
      <c r="P71" s="603">
        <v>1945404.3390320002</v>
      </c>
      <c r="Q71" s="603">
        <v>1749883.1164640002</v>
      </c>
      <c r="R71" s="603">
        <v>2185305.45744</v>
      </c>
      <c r="S71" s="603">
        <v>1981914.0124559999</v>
      </c>
      <c r="T71" s="603">
        <v>2844174.5956959999</v>
      </c>
      <c r="U71" s="603">
        <v>4821620.1319439998</v>
      </c>
      <c r="V71" s="605">
        <f>SUM(L71:T71)</f>
        <v>19842743.758543998</v>
      </c>
      <c r="W71" s="605">
        <f>U71+J71+K71</f>
        <v>14003070.839295998</v>
      </c>
    </row>
    <row r="72" spans="1:24" x14ac:dyDescent="0.35">
      <c r="A72" s="311" t="s">
        <v>351</v>
      </c>
      <c r="B72" s="311" t="s">
        <v>274</v>
      </c>
      <c r="C72" s="311" t="s">
        <v>879</v>
      </c>
      <c r="D72" s="311" t="s">
        <v>882</v>
      </c>
      <c r="E72" s="245" t="s">
        <v>879</v>
      </c>
      <c r="F72" s="245" t="s">
        <v>882</v>
      </c>
      <c r="I72" s="604">
        <f>SUM(J72:U72)</f>
        <v>26335075.484115995</v>
      </c>
      <c r="J72" s="603">
        <v>3283327.5348160001</v>
      </c>
      <c r="K72" s="603">
        <v>3552669.9186720001</v>
      </c>
      <c r="L72" s="603">
        <v>1950597.3654999998</v>
      </c>
      <c r="M72" s="603">
        <v>1969291.4535000003</v>
      </c>
      <c r="N72" s="603">
        <v>1734729.6050000002</v>
      </c>
      <c r="O72" s="603">
        <v>1641720.9654999999</v>
      </c>
      <c r="P72" s="603">
        <v>1718405.0835000002</v>
      </c>
      <c r="Q72" s="603">
        <v>1370762.6765000001</v>
      </c>
      <c r="R72" s="603">
        <v>1631306.4810000001</v>
      </c>
      <c r="S72" s="603">
        <v>1791054.125</v>
      </c>
      <c r="T72" s="603">
        <v>2281905.1570000006</v>
      </c>
      <c r="U72" s="603">
        <v>3409305.1181279998</v>
      </c>
      <c r="V72" s="605">
        <f>SUM(L72:T72)</f>
        <v>16089772.912500001</v>
      </c>
      <c r="W72" s="605">
        <f>U72+J72+K72</f>
        <v>10245302.571616001</v>
      </c>
    </row>
    <row r="73" spans="1:24" x14ac:dyDescent="0.35">
      <c r="A73" s="247" t="s">
        <v>547</v>
      </c>
      <c r="I73" s="601">
        <f>SUM(I74:I76)</f>
        <v>6688093.0212754561</v>
      </c>
      <c r="J73" s="602"/>
      <c r="K73" s="602"/>
      <c r="L73" s="602"/>
      <c r="M73" s="602"/>
      <c r="N73" s="602"/>
      <c r="O73" s="602"/>
      <c r="P73" s="602"/>
      <c r="Q73" s="602"/>
      <c r="R73" s="602"/>
      <c r="S73" s="602"/>
      <c r="T73" s="602"/>
      <c r="U73" s="602"/>
      <c r="V73" s="603">
        <f>+V72+V71+V70+V69+V68</f>
        <v>55227281.812554322</v>
      </c>
      <c r="W73" s="603">
        <f>+W72+W71+W70+W69+W68</f>
        <v>35126179.448490106</v>
      </c>
      <c r="X73" s="245">
        <f>+V73+W73</f>
        <v>90353461.261044428</v>
      </c>
    </row>
    <row r="74" spans="1:24" x14ac:dyDescent="0.35">
      <c r="A74" s="311" t="s">
        <v>489</v>
      </c>
      <c r="B74" s="311" t="s">
        <v>276</v>
      </c>
      <c r="C74" s="311" t="s">
        <v>488</v>
      </c>
      <c r="D74" s="311" t="s">
        <v>822</v>
      </c>
      <c r="E74" s="245" t="s">
        <v>488</v>
      </c>
      <c r="F74" s="245" t="s">
        <v>822</v>
      </c>
      <c r="I74" s="604">
        <f>SUM(J74:U74)</f>
        <v>1601382.7021851679</v>
      </c>
      <c r="J74" s="608">
        <v>181414.41359104001</v>
      </c>
      <c r="K74" s="608">
        <v>156989.91300697598</v>
      </c>
      <c r="L74" s="608">
        <v>94194.868108320021</v>
      </c>
      <c r="M74" s="608">
        <v>115480.28934792001</v>
      </c>
      <c r="N74" s="608">
        <v>114997.33633248002</v>
      </c>
      <c r="O74" s="608">
        <v>90509.458276440011</v>
      </c>
      <c r="P74" s="608">
        <v>129293.82567612</v>
      </c>
      <c r="Q74" s="608">
        <v>133541.65203876002</v>
      </c>
      <c r="R74" s="608">
        <v>128073.58496352</v>
      </c>
      <c r="S74" s="608">
        <v>117465.33425004</v>
      </c>
      <c r="T74" s="608">
        <v>121460.88323880002</v>
      </c>
      <c r="U74" s="608">
        <v>217961.14335475198</v>
      </c>
      <c r="V74" s="605">
        <f>SUM(L74:T74)</f>
        <v>1045017.2322324</v>
      </c>
      <c r="W74" s="605">
        <f>U74+J74+K74</f>
        <v>556365.46995276795</v>
      </c>
    </row>
    <row r="75" spans="1:24" x14ac:dyDescent="0.35">
      <c r="A75" s="311" t="s">
        <v>487</v>
      </c>
      <c r="B75" s="311" t="s">
        <v>277</v>
      </c>
      <c r="C75" s="311" t="s">
        <v>486</v>
      </c>
      <c r="D75" s="311" t="s">
        <v>821</v>
      </c>
      <c r="E75" s="245" t="s">
        <v>486</v>
      </c>
      <c r="F75" s="245" t="s">
        <v>821</v>
      </c>
      <c r="I75" s="604">
        <f>SUM(J75:U75)</f>
        <v>2431977.1525280001</v>
      </c>
      <c r="J75" s="608">
        <v>237809.627208272</v>
      </c>
      <c r="K75" s="608">
        <v>215542.61103614399</v>
      </c>
      <c r="L75" s="608">
        <v>150245.36849952</v>
      </c>
      <c r="M75" s="608">
        <v>184972.88659751997</v>
      </c>
      <c r="N75" s="608">
        <v>178522.29382008</v>
      </c>
      <c r="O75" s="608">
        <v>147312.00933120001</v>
      </c>
      <c r="P75" s="608">
        <v>209039.57301863999</v>
      </c>
      <c r="Q75" s="608">
        <v>214276.87796087997</v>
      </c>
      <c r="R75" s="608">
        <v>212495.16640128</v>
      </c>
      <c r="S75" s="608">
        <v>195519.38297303999</v>
      </c>
      <c r="T75" s="608">
        <v>192584.07213528</v>
      </c>
      <c r="U75" s="608">
        <v>293657.28354614397</v>
      </c>
      <c r="V75" s="605">
        <f>SUM(L75:T75)</f>
        <v>1684967.6307374402</v>
      </c>
      <c r="W75" s="605">
        <f>U75+J75+K75</f>
        <v>747009.52179055987</v>
      </c>
    </row>
    <row r="76" spans="1:24" x14ac:dyDescent="0.35">
      <c r="A76" s="311" t="s">
        <v>480</v>
      </c>
      <c r="B76" s="311" t="s">
        <v>278</v>
      </c>
      <c r="C76" s="311" t="s">
        <v>482</v>
      </c>
      <c r="D76" s="311" t="s">
        <v>823</v>
      </c>
      <c r="E76" s="245" t="s">
        <v>482</v>
      </c>
      <c r="F76" s="245" t="s">
        <v>823</v>
      </c>
      <c r="I76" s="604">
        <f>SUM(J76:U76)</f>
        <v>2654733.1665622881</v>
      </c>
      <c r="J76" s="608">
        <v>259859.17033070396</v>
      </c>
      <c r="K76" s="608">
        <v>294648.93061799998</v>
      </c>
      <c r="L76" s="608">
        <v>163301.88725199999</v>
      </c>
      <c r="M76" s="608">
        <v>181070.52656</v>
      </c>
      <c r="N76" s="608">
        <v>178672.41658699999</v>
      </c>
      <c r="O76" s="608">
        <v>204998.17802799999</v>
      </c>
      <c r="P76" s="608">
        <v>208262.122152</v>
      </c>
      <c r="Q76" s="608">
        <v>205065.47298999998</v>
      </c>
      <c r="R76" s="608">
        <v>232529.01776999998</v>
      </c>
      <c r="S76" s="608">
        <v>211278.34881299999</v>
      </c>
      <c r="T76" s="608">
        <v>188791.30801299997</v>
      </c>
      <c r="U76" s="608">
        <v>326255.78744858399</v>
      </c>
      <c r="V76" s="605">
        <f>SUM(L76:T76)</f>
        <v>1773969.2781649998</v>
      </c>
      <c r="W76" s="605">
        <f>U76+J76+K76</f>
        <v>880763.88839728793</v>
      </c>
    </row>
    <row r="77" spans="1:24" x14ac:dyDescent="0.35">
      <c r="A77" s="247" t="s">
        <v>1478</v>
      </c>
      <c r="I77" s="601">
        <f>SUM(I78:I80)</f>
        <v>1366175.668170592</v>
      </c>
      <c r="J77" s="602"/>
      <c r="K77" s="602"/>
      <c r="L77" s="602"/>
      <c r="M77" s="602"/>
      <c r="N77" s="602"/>
      <c r="O77" s="602"/>
      <c r="P77" s="602"/>
      <c r="Q77" s="602"/>
      <c r="R77" s="602"/>
      <c r="S77" s="602"/>
      <c r="T77" s="602"/>
      <c r="U77" s="602"/>
      <c r="V77" s="603">
        <f>+V76+V75+V74</f>
        <v>4503954.1411348404</v>
      </c>
      <c r="W77" s="603">
        <f>+W76+W75+W74</f>
        <v>2184138.8801406156</v>
      </c>
      <c r="X77" s="245">
        <f>+W77+V77</f>
        <v>6688093.0212754561</v>
      </c>
    </row>
    <row r="78" spans="1:24" x14ac:dyDescent="0.35">
      <c r="A78" s="311" t="s">
        <v>507</v>
      </c>
      <c r="B78" s="311" t="s">
        <v>443</v>
      </c>
      <c r="C78" s="311" t="s">
        <v>506</v>
      </c>
      <c r="D78" s="311" t="s">
        <v>1053</v>
      </c>
      <c r="E78" s="245" t="s">
        <v>506</v>
      </c>
      <c r="F78" s="245" t="s">
        <v>1053</v>
      </c>
      <c r="I78" s="604">
        <f>SUM(J78:U78)</f>
        <v>374734.78966588003</v>
      </c>
      <c r="J78" s="606">
        <v>41749.729369152003</v>
      </c>
      <c r="K78" s="606">
        <v>37495.984307040002</v>
      </c>
      <c r="L78" s="606">
        <v>17431.536976560001</v>
      </c>
      <c r="M78" s="606">
        <v>22000.223121071998</v>
      </c>
      <c r="N78" s="606">
        <v>19932.757092527998</v>
      </c>
      <c r="O78" s="606">
        <v>19587.243068735996</v>
      </c>
      <c r="P78" s="606">
        <v>28516.83430848</v>
      </c>
      <c r="Q78" s="606">
        <v>28406.902081656001</v>
      </c>
      <c r="R78" s="606">
        <v>26837.731571615997</v>
      </c>
      <c r="S78" s="606">
        <v>25661.985114864001</v>
      </c>
      <c r="T78" s="606">
        <v>33975.545672879998</v>
      </c>
      <c r="U78" s="606">
        <v>73138.316981296011</v>
      </c>
      <c r="V78" s="605">
        <f>SUM(L78:T78)</f>
        <v>222350.75900839196</v>
      </c>
      <c r="W78" s="605">
        <f>U78+J78+K78</f>
        <v>152384.03065748801</v>
      </c>
    </row>
    <row r="79" spans="1:24" x14ac:dyDescent="0.35">
      <c r="A79" s="311" t="s">
        <v>505</v>
      </c>
      <c r="B79" s="311" t="s">
        <v>445</v>
      </c>
      <c r="C79" s="311" t="s">
        <v>504</v>
      </c>
      <c r="D79" s="311" t="s">
        <v>1052</v>
      </c>
      <c r="E79" s="245" t="s">
        <v>504</v>
      </c>
      <c r="F79" s="245" t="s">
        <v>1052</v>
      </c>
      <c r="I79" s="604">
        <f>SUM(J79:U79)</f>
        <v>541260.56661287998</v>
      </c>
      <c r="J79" s="606">
        <v>57205.81494144001</v>
      </c>
      <c r="K79" s="606">
        <v>54266.232350880004</v>
      </c>
      <c r="L79" s="606">
        <v>26310.802139136002</v>
      </c>
      <c r="M79" s="606">
        <v>33868.273883136004</v>
      </c>
      <c r="N79" s="606">
        <v>31309.262519808002</v>
      </c>
      <c r="O79" s="606">
        <v>30532.628722176003</v>
      </c>
      <c r="P79" s="606">
        <v>46156.065767423999</v>
      </c>
      <c r="Q79" s="606">
        <v>45954.999874560002</v>
      </c>
      <c r="R79" s="606">
        <v>45044.460249599993</v>
      </c>
      <c r="S79" s="606">
        <v>38594.879576063999</v>
      </c>
      <c r="T79" s="606">
        <v>45744.790726655992</v>
      </c>
      <c r="U79" s="606">
        <v>86272.355861999997</v>
      </c>
      <c r="V79" s="605">
        <f>SUM(L79:T79)</f>
        <v>343516.16345856001</v>
      </c>
      <c r="W79" s="605">
        <f>U79+J79+K79</f>
        <v>197744.40315432003</v>
      </c>
    </row>
    <row r="80" spans="1:24" x14ac:dyDescent="0.35">
      <c r="A80" s="311" t="s">
        <v>509</v>
      </c>
      <c r="B80" s="311" t="s">
        <v>441</v>
      </c>
      <c r="C80" s="311" t="s">
        <v>508</v>
      </c>
      <c r="D80" s="311" t="s">
        <v>1054</v>
      </c>
      <c r="E80" s="245" t="s">
        <v>508</v>
      </c>
      <c r="F80" s="245" t="s">
        <v>1054</v>
      </c>
      <c r="I80" s="604">
        <f>SUM(J80:U80)</f>
        <v>450180.31189183198</v>
      </c>
      <c r="J80" s="606">
        <v>57402.172807488008</v>
      </c>
      <c r="K80" s="606">
        <v>60112.350633599999</v>
      </c>
      <c r="L80" s="606">
        <v>23722.158412319997</v>
      </c>
      <c r="M80" s="606">
        <v>27304.267374663999</v>
      </c>
      <c r="N80" s="606">
        <v>26613.843534711996</v>
      </c>
      <c r="O80" s="606">
        <v>31238.821770967999</v>
      </c>
      <c r="P80" s="606">
        <v>34804.052534016002</v>
      </c>
      <c r="Q80" s="606">
        <v>29683.390217095999</v>
      </c>
      <c r="R80" s="606">
        <v>32822.207842423995</v>
      </c>
      <c r="S80" s="606">
        <v>32121.586757064</v>
      </c>
      <c r="T80" s="606">
        <v>30645.975020695994</v>
      </c>
      <c r="U80" s="606">
        <v>63709.484986784009</v>
      </c>
      <c r="V80" s="605">
        <f>SUM(L80:T80)</f>
        <v>268956.30346395995</v>
      </c>
      <c r="W80" s="605">
        <f>U80+J80+K80</f>
        <v>181224.00842787203</v>
      </c>
    </row>
    <row r="81" spans="1:24" x14ac:dyDescent="0.35">
      <c r="A81" s="247" t="s">
        <v>1479</v>
      </c>
      <c r="B81" s="248"/>
      <c r="C81" s="248"/>
      <c r="D81" s="248"/>
      <c r="I81" s="601">
        <f>I82</f>
        <v>554299.94460223999</v>
      </c>
      <c r="J81" s="606"/>
      <c r="K81" s="606"/>
      <c r="L81" s="606"/>
      <c r="M81" s="638"/>
      <c r="N81" s="638"/>
      <c r="O81" s="638"/>
      <c r="P81" s="606"/>
      <c r="Q81" s="606"/>
      <c r="R81" s="606"/>
      <c r="S81" s="606"/>
      <c r="T81" s="606"/>
      <c r="U81" s="606"/>
      <c r="V81" s="605">
        <f>+V80+V79+V78</f>
        <v>834823.22593091195</v>
      </c>
      <c r="W81" s="605">
        <f>+W80+W79+W78</f>
        <v>531352.44223968009</v>
      </c>
      <c r="X81" s="245">
        <f>+W81+V81</f>
        <v>1366175.668170592</v>
      </c>
    </row>
    <row r="82" spans="1:24" x14ac:dyDescent="0.35">
      <c r="A82" s="328" t="s">
        <v>1488</v>
      </c>
      <c r="B82" s="328" t="s">
        <v>1488</v>
      </c>
      <c r="C82" s="328" t="s">
        <v>1481</v>
      </c>
      <c r="D82" s="328" t="s">
        <v>1481</v>
      </c>
      <c r="I82" s="604">
        <f>SUM(J82:U82)</f>
        <v>554299.94460223999</v>
      </c>
      <c r="J82" s="606">
        <v>42320.822607360002</v>
      </c>
      <c r="K82" s="606">
        <v>68923.143712192003</v>
      </c>
      <c r="L82" s="606">
        <v>74845.004224672011</v>
      </c>
      <c r="M82" s="606">
        <v>39146.992324879997</v>
      </c>
      <c r="N82" s="606">
        <v>35245.115480335997</v>
      </c>
      <c r="O82" s="606">
        <v>55249.492264063992</v>
      </c>
      <c r="P82" s="606">
        <v>29718.235006656003</v>
      </c>
      <c r="Q82" s="606">
        <v>48634.738938912</v>
      </c>
      <c r="R82" s="606">
        <v>22155.697888800005</v>
      </c>
      <c r="S82" s="606">
        <v>42136.470539184003</v>
      </c>
      <c r="T82" s="606">
        <v>40857.492565344008</v>
      </c>
      <c r="U82" s="606">
        <v>55066.739049840005</v>
      </c>
      <c r="V82" s="605">
        <f>SUM(L82:T82)</f>
        <v>387989.23923284805</v>
      </c>
      <c r="W82" s="605">
        <f>U82+J82+K82</f>
        <v>166310.705369392</v>
      </c>
    </row>
    <row r="83" spans="1:24" x14ac:dyDescent="0.35">
      <c r="A83" s="248" t="s">
        <v>485</v>
      </c>
      <c r="B83" s="248" t="s">
        <v>485</v>
      </c>
      <c r="C83" s="248"/>
      <c r="D83" s="248"/>
      <c r="E83" s="248"/>
      <c r="F83" s="248"/>
      <c r="G83" s="248"/>
      <c r="H83" s="248"/>
      <c r="I83" s="612">
        <f>SUM(J83:U83)</f>
        <v>91830169.811765403</v>
      </c>
      <c r="J83" s="801">
        <v>7849310.4027562412</v>
      </c>
      <c r="K83" s="801">
        <v>7866853.0283175847</v>
      </c>
      <c r="L83" s="801">
        <v>7622681.796019841</v>
      </c>
      <c r="M83" s="801">
        <v>7880921.8912175857</v>
      </c>
      <c r="N83" s="801">
        <v>7660031.5923524648</v>
      </c>
      <c r="O83" s="801">
        <v>7517854.6196611216</v>
      </c>
      <c r="P83" s="801">
        <v>7529023.7715812018</v>
      </c>
      <c r="Q83" s="801">
        <v>7586900.2860761611</v>
      </c>
      <c r="R83" s="801">
        <v>7777791.2461647997</v>
      </c>
      <c r="S83" s="801">
        <v>7491454.8060318409</v>
      </c>
      <c r="T83" s="801">
        <v>7517854.6196611216</v>
      </c>
      <c r="U83" s="801">
        <v>7529491.7519254414</v>
      </c>
      <c r="V83" s="613">
        <f>+V82</f>
        <v>387989.23923284805</v>
      </c>
      <c r="W83" s="613">
        <f>+W82</f>
        <v>166310.705369392</v>
      </c>
      <c r="X83" s="245">
        <f>+V83+W83</f>
        <v>554299.94460224011</v>
      </c>
    </row>
    <row r="84" spans="1:24" x14ac:dyDescent="0.35">
      <c r="I84" s="714" t="s">
        <v>295</v>
      </c>
      <c r="J84" s="715">
        <f>SUM(J8:J83)+SUM(J4:J5)</f>
        <v>382639670.28318405</v>
      </c>
      <c r="K84" s="715">
        <f t="shared" ref="K84:U84" si="10">SUM(K8:K83)+SUM(K4:K5)</f>
        <v>365409734.51760155</v>
      </c>
      <c r="L84" s="715">
        <f t="shared" si="10"/>
        <v>304975919.58093303</v>
      </c>
      <c r="M84" s="715">
        <f t="shared" si="10"/>
        <v>299669938.90980679</v>
      </c>
      <c r="N84" s="715">
        <f t="shared" si="10"/>
        <v>303058112.8169564</v>
      </c>
      <c r="O84" s="715">
        <f>SUM(O8:O83)+SUM(O4:O5)</f>
        <v>280590887.06653994</v>
      </c>
      <c r="P84" s="715">
        <f t="shared" si="10"/>
        <v>276776227.50423068</v>
      </c>
      <c r="Q84" s="715">
        <f t="shared" si="10"/>
        <v>213753823.29665959</v>
      </c>
      <c r="R84" s="715">
        <f t="shared" si="10"/>
        <v>221688468.53393844</v>
      </c>
      <c r="S84" s="715">
        <f t="shared" si="10"/>
        <v>217605968.86187926</v>
      </c>
      <c r="T84" s="715">
        <f t="shared" si="10"/>
        <v>296706100.45215505</v>
      </c>
      <c r="U84" s="715">
        <f t="shared" si="10"/>
        <v>402366428.67312574</v>
      </c>
      <c r="V84" s="722">
        <f>SUM(J84:U84)</f>
        <v>3565241280.4970107</v>
      </c>
      <c r="W84" s="614"/>
    </row>
    <row r="85" spans="1:24" x14ac:dyDescent="0.35">
      <c r="I85" s="716" t="s">
        <v>542</v>
      </c>
      <c r="J85" s="717">
        <f>+J4+J5+J11+J12+J27</f>
        <v>179975444.09527159</v>
      </c>
      <c r="K85" s="717">
        <f t="shared" ref="K85:T85" si="11">+K4+K5+K11+K12+K27</f>
        <v>169598341.01383099</v>
      </c>
      <c r="L85" s="717">
        <f t="shared" si="11"/>
        <v>154505024.55028832</v>
      </c>
      <c r="M85" s="717">
        <f t="shared" si="11"/>
        <v>154696527.4938831</v>
      </c>
      <c r="N85" s="717">
        <f t="shared" si="11"/>
        <v>154397755.21174198</v>
      </c>
      <c r="O85" s="717">
        <f>+O4+O5+O11+O12+O27</f>
        <v>155192738.48422423</v>
      </c>
      <c r="P85" s="717">
        <f t="shared" si="11"/>
        <v>147152004.8280552</v>
      </c>
      <c r="Q85" s="717">
        <f t="shared" si="11"/>
        <v>89882367.697481588</v>
      </c>
      <c r="R85" s="717">
        <f t="shared" si="11"/>
        <v>93890098.210570812</v>
      </c>
      <c r="S85" s="717">
        <f t="shared" si="11"/>
        <v>94533699.214770243</v>
      </c>
      <c r="T85" s="717">
        <f t="shared" si="11"/>
        <v>166330044.58343154</v>
      </c>
      <c r="U85" s="717">
        <f t="shared" ref="U85" si="12">+U4+U5+U11+U12+U27</f>
        <v>208054170.50469482</v>
      </c>
      <c r="V85" s="615"/>
      <c r="W85" s="615"/>
    </row>
    <row r="86" spans="1:24" x14ac:dyDescent="0.35">
      <c r="I86" s="718" t="s">
        <v>297</v>
      </c>
      <c r="J86" s="719">
        <f>SUM(J29:J82,J14:J25,J8:J9)</f>
        <v>194814915.78515601</v>
      </c>
      <c r="K86" s="719">
        <f t="shared" ref="K86:T86" si="13">SUM(K29:K82,K14:K25,K8:K9)</f>
        <v>187944540.07341474</v>
      </c>
      <c r="L86" s="719">
        <f t="shared" si="13"/>
        <v>142848213.23462483</v>
      </c>
      <c r="M86" s="719">
        <f t="shared" si="13"/>
        <v>137092489.52470604</v>
      </c>
      <c r="N86" s="719">
        <f t="shared" si="13"/>
        <v>141000326.0128617</v>
      </c>
      <c r="O86" s="719">
        <f t="shared" si="13"/>
        <v>117880293.96265468</v>
      </c>
      <c r="P86" s="719">
        <f t="shared" si="13"/>
        <v>122095198.90459421</v>
      </c>
      <c r="Q86" s="719">
        <f t="shared" si="13"/>
        <v>116284555.31310184</v>
      </c>
      <c r="R86" s="719">
        <f t="shared" si="13"/>
        <v>120020579.07720289</v>
      </c>
      <c r="S86" s="719">
        <f t="shared" si="13"/>
        <v>115580814.8410771</v>
      </c>
      <c r="T86" s="719">
        <f t="shared" si="13"/>
        <v>122858201.24906248</v>
      </c>
      <c r="U86" s="719">
        <f t="shared" ref="U86" si="14">SUM(U29:U82,U14:U25,U8:U9)</f>
        <v>186782766.41650534</v>
      </c>
      <c r="V86" s="615"/>
      <c r="W86" s="615"/>
    </row>
    <row r="87" spans="1:24" x14ac:dyDescent="0.35">
      <c r="I87" s="718" t="s">
        <v>298</v>
      </c>
      <c r="J87" s="719">
        <f>+J3+J7</f>
        <v>2674204.1948799998</v>
      </c>
      <c r="K87" s="719">
        <f t="shared" ref="K87:T87" si="15">+K3+K7</f>
        <v>2615837.1658399999</v>
      </c>
      <c r="L87" s="719">
        <f t="shared" si="15"/>
        <v>2072841.4584400002</v>
      </c>
      <c r="M87" s="719">
        <f t="shared" si="15"/>
        <v>2065521.54</v>
      </c>
      <c r="N87" s="719">
        <f t="shared" si="15"/>
        <v>2063492.2556800002</v>
      </c>
      <c r="O87" s="719">
        <f t="shared" si="15"/>
        <v>2060013.4825600001</v>
      </c>
      <c r="P87" s="719">
        <f t="shared" si="15"/>
        <v>2059506.16148</v>
      </c>
      <c r="Q87" s="719">
        <f t="shared" si="15"/>
        <v>2062839.98572</v>
      </c>
      <c r="R87" s="719">
        <f t="shared" si="15"/>
        <v>2062839.98572</v>
      </c>
      <c r="S87" s="719">
        <f t="shared" si="15"/>
        <v>2064289.4745200002</v>
      </c>
      <c r="T87" s="719">
        <f t="shared" si="15"/>
        <v>2059796.0592400001</v>
      </c>
      <c r="U87" s="719">
        <f t="shared" ref="U87" si="16">+U3+U7</f>
        <v>2619795.8129200004</v>
      </c>
      <c r="V87" s="724">
        <f>SUM(J87:U87)</f>
        <v>26480977.577</v>
      </c>
      <c r="W87" s="615"/>
    </row>
    <row r="88" spans="1:24" x14ac:dyDescent="0.35">
      <c r="I88" s="720" t="s">
        <v>543</v>
      </c>
      <c r="J88" s="721">
        <f>+J83</f>
        <v>7849310.4027562412</v>
      </c>
      <c r="K88" s="721">
        <f>+K83</f>
        <v>7866853.0283175847</v>
      </c>
      <c r="L88" s="721">
        <f t="shared" ref="L88:T88" si="17">+L83</f>
        <v>7622681.796019841</v>
      </c>
      <c r="M88" s="721">
        <f t="shared" si="17"/>
        <v>7880921.8912175857</v>
      </c>
      <c r="N88" s="721">
        <f t="shared" si="17"/>
        <v>7660031.5923524648</v>
      </c>
      <c r="O88" s="721">
        <f t="shared" si="17"/>
        <v>7517854.6196611216</v>
      </c>
      <c r="P88" s="721">
        <f t="shared" si="17"/>
        <v>7529023.7715812018</v>
      </c>
      <c r="Q88" s="721">
        <f t="shared" si="17"/>
        <v>7586900.2860761611</v>
      </c>
      <c r="R88" s="721">
        <f t="shared" si="17"/>
        <v>7777791.2461647997</v>
      </c>
      <c r="S88" s="721">
        <f t="shared" si="17"/>
        <v>7491454.8060318409</v>
      </c>
      <c r="T88" s="721">
        <f t="shared" si="17"/>
        <v>7517854.6196611216</v>
      </c>
      <c r="U88" s="721">
        <f t="shared" ref="U88" si="18">+U83</f>
        <v>7529491.7519254414</v>
      </c>
      <c r="V88" s="615">
        <f>SUM(J88:U88)</f>
        <v>91830169.811765403</v>
      </c>
      <c r="W88" s="616"/>
    </row>
    <row r="89" spans="1:24" x14ac:dyDescent="0.35">
      <c r="D89" s="245" t="s">
        <v>1865</v>
      </c>
      <c r="I89" s="726">
        <f>I83+I81+I77+I73+I67+I61+I54+I47+I40+I35+I30+I28+I26+I21+I16+I13+I10+I6+I2-(I7+I3)</f>
        <v>3565241280.0949726</v>
      </c>
      <c r="J89" s="607">
        <f>+J85+J86+J87+J88</f>
        <v>385313874.47806382</v>
      </c>
      <c r="K89" s="607">
        <f t="shared" ref="K89:T89" si="19">+K85+K86+K87+K88</f>
        <v>368025571.2814033</v>
      </c>
      <c r="L89" s="607">
        <f t="shared" si="19"/>
        <v>307048761.03937304</v>
      </c>
      <c r="M89" s="607">
        <f t="shared" si="19"/>
        <v>301735460.44980675</v>
      </c>
      <c r="N89" s="607">
        <f t="shared" si="19"/>
        <v>305121605.07263613</v>
      </c>
      <c r="O89" s="607">
        <f t="shared" si="19"/>
        <v>282650900.54909998</v>
      </c>
      <c r="P89" s="607">
        <f t="shared" si="19"/>
        <v>278835733.66571063</v>
      </c>
      <c r="Q89" s="607">
        <f t="shared" si="19"/>
        <v>215816663.2823796</v>
      </c>
      <c r="R89" s="607">
        <f t="shared" si="19"/>
        <v>223751308.51965851</v>
      </c>
      <c r="S89" s="607">
        <f t="shared" si="19"/>
        <v>219670258.3363992</v>
      </c>
      <c r="T89" s="607">
        <f t="shared" si="19"/>
        <v>298765896.5113951</v>
      </c>
      <c r="U89" s="607">
        <f>+U85+U86+U87+U88</f>
        <v>404986224.4860456</v>
      </c>
      <c r="V89" s="615"/>
      <c r="W89" s="616"/>
    </row>
    <row r="90" spans="1:24" x14ac:dyDescent="0.35">
      <c r="D90" s="245" t="s">
        <v>298</v>
      </c>
      <c r="I90" s="591">
        <f>+I3+I7</f>
        <v>26480977.577</v>
      </c>
      <c r="J90" s="589"/>
      <c r="K90" s="589"/>
      <c r="L90" s="589"/>
      <c r="M90" s="589"/>
      <c r="N90" s="589"/>
      <c r="O90" s="589"/>
      <c r="P90" s="589"/>
      <c r="Q90" s="589"/>
      <c r="R90" s="589"/>
      <c r="S90" s="589"/>
      <c r="T90" s="589"/>
      <c r="U90" s="589"/>
      <c r="V90" s="592"/>
      <c r="W90" s="593"/>
    </row>
    <row r="91" spans="1:24" ht="15" thickBot="1" x14ac:dyDescent="0.4">
      <c r="D91" s="247" t="s">
        <v>1864</v>
      </c>
      <c r="I91" s="725">
        <f>SUM(I89:I90)</f>
        <v>3591722257.6719728</v>
      </c>
      <c r="J91" s="589"/>
      <c r="K91" s="589"/>
      <c r="L91" s="589"/>
      <c r="M91" s="589"/>
      <c r="N91" s="589"/>
      <c r="O91" s="589"/>
      <c r="P91" s="589"/>
      <c r="Q91" s="589"/>
      <c r="R91" s="589"/>
      <c r="S91" s="589"/>
      <c r="T91" s="589"/>
      <c r="U91" s="589"/>
      <c r="V91" s="592"/>
      <c r="W91" s="593"/>
    </row>
    <row r="92" spans="1:24" ht="15" thickTop="1" x14ac:dyDescent="0.35">
      <c r="I92" s="591">
        <f>'Tariff SUMMARY 26-27'!C25-'Tariff Rand Values Old'!I91</f>
        <v>1153562901.9205594</v>
      </c>
      <c r="J92" s="589"/>
      <c r="K92" s="589"/>
      <c r="L92" s="589"/>
      <c r="M92" s="589"/>
      <c r="N92" s="589"/>
      <c r="O92" s="589"/>
      <c r="P92" s="589"/>
      <c r="Q92" s="589"/>
      <c r="R92" s="589"/>
      <c r="S92" s="589"/>
      <c r="T92" s="589"/>
      <c r="U92" s="589"/>
      <c r="V92" s="592"/>
      <c r="W92" s="593"/>
    </row>
    <row r="93" spans="1:24" x14ac:dyDescent="0.35">
      <c r="I93" s="591"/>
      <c r="J93" s="589"/>
      <c r="K93" s="589"/>
      <c r="L93" s="589"/>
      <c r="M93" s="589"/>
      <c r="N93" s="589"/>
      <c r="O93" s="589"/>
      <c r="P93" s="589"/>
      <c r="Q93" s="589"/>
      <c r="R93" s="589"/>
      <c r="S93" s="589"/>
      <c r="T93" s="589"/>
      <c r="U93" s="589"/>
      <c r="V93" s="592"/>
      <c r="W93" s="593"/>
    </row>
    <row r="94" spans="1:24" x14ac:dyDescent="0.35">
      <c r="I94" s="591">
        <f>3578588914-'Tariff SUMMARY 26-27'!C25</f>
        <v>-1166696245.5925322</v>
      </c>
      <c r="J94" s="589"/>
      <c r="K94" s="589"/>
      <c r="L94" s="589"/>
      <c r="M94" s="589"/>
      <c r="N94" s="589"/>
      <c r="O94" s="589"/>
      <c r="P94" s="589"/>
      <c r="Q94" s="589"/>
      <c r="R94" s="589"/>
      <c r="S94" s="589"/>
      <c r="T94" s="589"/>
      <c r="U94" s="589"/>
      <c r="V94" s="592"/>
      <c r="W94" s="593"/>
    </row>
    <row r="95" spans="1:24" ht="15.5" x14ac:dyDescent="0.35">
      <c r="I95" s="633" t="s">
        <v>1630</v>
      </c>
      <c r="V95" s="590"/>
      <c r="W95" s="590"/>
    </row>
    <row r="96" spans="1:24" s="247" customFormat="1" x14ac:dyDescent="0.35">
      <c r="D96" s="359"/>
      <c r="E96" s="359"/>
      <c r="F96" s="544"/>
      <c r="G96" s="544"/>
      <c r="H96" s="544"/>
      <c r="I96" s="595" t="s">
        <v>295</v>
      </c>
      <c r="J96" s="595">
        <f t="shared" ref="J96:U96" si="20">SUM(J97:J98)</f>
        <v>382639670.28318381</v>
      </c>
      <c r="K96" s="595">
        <f t="shared" si="20"/>
        <v>365409734.11556327</v>
      </c>
      <c r="L96" s="595">
        <f t="shared" si="20"/>
        <v>304975919.58093303</v>
      </c>
      <c r="M96" s="595">
        <f t="shared" si="20"/>
        <v>299669938.90980673</v>
      </c>
      <c r="N96" s="595">
        <f t="shared" si="20"/>
        <v>303058112.81695616</v>
      </c>
      <c r="O96" s="595">
        <f t="shared" si="20"/>
        <v>280590887.06654006</v>
      </c>
      <c r="P96" s="595">
        <f t="shared" si="20"/>
        <v>276776227.50423062</v>
      </c>
      <c r="Q96" s="595">
        <f t="shared" si="20"/>
        <v>213753823.29665959</v>
      </c>
      <c r="R96" s="595">
        <f t="shared" si="20"/>
        <v>221688468.53393847</v>
      </c>
      <c r="S96" s="595">
        <f t="shared" si="20"/>
        <v>217605968.86187917</v>
      </c>
      <c r="T96" s="595">
        <f t="shared" si="20"/>
        <v>296706100.45215511</v>
      </c>
      <c r="U96" s="595">
        <f t="shared" si="20"/>
        <v>402366428.67312557</v>
      </c>
      <c r="V96" s="620">
        <f>SUM(V97:V98)</f>
        <v>3571569271.4455881</v>
      </c>
      <c r="W96" s="596"/>
    </row>
    <row r="97" spans="4:23" x14ac:dyDescent="0.35">
      <c r="D97" s="364"/>
      <c r="E97" s="364"/>
      <c r="F97" s="545"/>
      <c r="G97" s="545"/>
      <c r="H97" s="545"/>
      <c r="I97" s="595" t="s">
        <v>296</v>
      </c>
      <c r="J97" s="617">
        <f>J27+J11+J12+J4+J5</f>
        <v>179975444.09527159</v>
      </c>
      <c r="K97" s="617">
        <f t="shared" ref="K97:T97" si="21">K27+K11+K12+K4+K5</f>
        <v>169598341.01383099</v>
      </c>
      <c r="L97" s="617">
        <f t="shared" si="21"/>
        <v>154505024.55028835</v>
      </c>
      <c r="M97" s="617">
        <f t="shared" si="21"/>
        <v>154696527.4938831</v>
      </c>
      <c r="N97" s="617">
        <f t="shared" si="21"/>
        <v>154397755.21174198</v>
      </c>
      <c r="O97" s="617">
        <f t="shared" si="21"/>
        <v>155192738.48422426</v>
      </c>
      <c r="P97" s="617">
        <f t="shared" si="21"/>
        <v>147152004.8280552</v>
      </c>
      <c r="Q97" s="617">
        <f t="shared" si="21"/>
        <v>89882367.697481588</v>
      </c>
      <c r="R97" s="617">
        <f t="shared" si="21"/>
        <v>93890098.210570797</v>
      </c>
      <c r="S97" s="617">
        <f t="shared" si="21"/>
        <v>94533699.214770243</v>
      </c>
      <c r="T97" s="617">
        <f t="shared" si="21"/>
        <v>166330044.58343154</v>
      </c>
      <c r="U97" s="617">
        <f>U27+U11+U12+U4+U5</f>
        <v>208054170.50469479</v>
      </c>
      <c r="V97" s="674">
        <f>SUM(J97:U97)</f>
        <v>1768208215.8882444</v>
      </c>
      <c r="W97" s="592"/>
    </row>
    <row r="98" spans="4:23" x14ac:dyDescent="0.35">
      <c r="D98" s="364"/>
      <c r="E98" s="364"/>
      <c r="F98" s="545"/>
      <c r="G98" s="545"/>
      <c r="H98" s="259"/>
      <c r="I98" s="595" t="s">
        <v>297</v>
      </c>
      <c r="J98" s="618">
        <f>SUM(J29:J83,J14:J25,J8:J9)</f>
        <v>202664226.18791226</v>
      </c>
      <c r="K98" s="618">
        <f t="shared" ref="K98:T98" si="22">SUM(K29:K83,K14:K25,K8:K9)</f>
        <v>195811393.10173231</v>
      </c>
      <c r="L98" s="618">
        <f t="shared" si="22"/>
        <v>150470895.03064469</v>
      </c>
      <c r="M98" s="618">
        <f t="shared" si="22"/>
        <v>144973411.41592363</v>
      </c>
      <c r="N98" s="618">
        <f t="shared" si="22"/>
        <v>148660357.60521418</v>
      </c>
      <c r="O98" s="618">
        <f t="shared" si="22"/>
        <v>125398148.5823158</v>
      </c>
      <c r="P98" s="618">
        <f t="shared" si="22"/>
        <v>129624222.67617542</v>
      </c>
      <c r="Q98" s="618">
        <f t="shared" si="22"/>
        <v>123871455.599178</v>
      </c>
      <c r="R98" s="618">
        <f t="shared" si="22"/>
        <v>127798370.32336769</v>
      </c>
      <c r="S98" s="618">
        <f t="shared" si="22"/>
        <v>123072269.64710894</v>
      </c>
      <c r="T98" s="618">
        <f t="shared" si="22"/>
        <v>130376055.8687236</v>
      </c>
      <c r="U98" s="618">
        <f>SUM(U29:U83,U14:U25,U8:U9)</f>
        <v>194312258.16843078</v>
      </c>
      <c r="V98" s="675">
        <f>SUM(J98:U98)+6406198.4-V10-W10</f>
        <v>1803361055.5573435</v>
      </c>
      <c r="W98" s="592"/>
    </row>
    <row r="99" spans="4:23" x14ac:dyDescent="0.35">
      <c r="D99" s="364"/>
      <c r="E99" s="364"/>
      <c r="F99" s="545"/>
      <c r="G99" s="545"/>
      <c r="H99" s="545"/>
      <c r="I99" s="595" t="s">
        <v>298</v>
      </c>
      <c r="J99" s="595">
        <f>+J3+J7</f>
        <v>2674204.1948799998</v>
      </c>
      <c r="K99" s="595">
        <f t="shared" ref="K99:U99" si="23">+K3+K7</f>
        <v>2615837.1658399999</v>
      </c>
      <c r="L99" s="595">
        <f t="shared" si="23"/>
        <v>2072841.4584400002</v>
      </c>
      <c r="M99" s="595">
        <f t="shared" si="23"/>
        <v>2065521.54</v>
      </c>
      <c r="N99" s="595">
        <f t="shared" si="23"/>
        <v>2063492.2556800002</v>
      </c>
      <c r="O99" s="595">
        <f t="shared" si="23"/>
        <v>2060013.4825600001</v>
      </c>
      <c r="P99" s="595">
        <f t="shared" si="23"/>
        <v>2059506.16148</v>
      </c>
      <c r="Q99" s="595">
        <f t="shared" si="23"/>
        <v>2062839.98572</v>
      </c>
      <c r="R99" s="595">
        <f t="shared" si="23"/>
        <v>2062839.98572</v>
      </c>
      <c r="S99" s="595">
        <f t="shared" si="23"/>
        <v>2064289.4745200002</v>
      </c>
      <c r="T99" s="595">
        <f t="shared" si="23"/>
        <v>2059796.0592400001</v>
      </c>
      <c r="U99" s="595">
        <f t="shared" si="23"/>
        <v>2619795.8129200004</v>
      </c>
      <c r="V99" s="665">
        <f>SUM(J99:U99)</f>
        <v>26480977.577</v>
      </c>
      <c r="W99" s="592"/>
    </row>
    <row r="100" spans="4:23" ht="15" thickBot="1" x14ac:dyDescent="0.4">
      <c r="D100" s="364"/>
      <c r="E100" s="364"/>
      <c r="F100" s="364"/>
      <c r="G100" s="364"/>
      <c r="H100" s="364"/>
      <c r="I100" s="587" t="s">
        <v>295</v>
      </c>
      <c r="J100" s="597">
        <f>J99+J96</f>
        <v>385313874.47806382</v>
      </c>
      <c r="K100" s="621">
        <f t="shared" ref="K100:U100" si="24">K99+K96</f>
        <v>368025571.2814033</v>
      </c>
      <c r="L100" s="621">
        <f t="shared" si="24"/>
        <v>307048761.03937304</v>
      </c>
      <c r="M100" s="621">
        <f t="shared" si="24"/>
        <v>301735460.44980675</v>
      </c>
      <c r="N100" s="621">
        <f t="shared" si="24"/>
        <v>305121605.07263619</v>
      </c>
      <c r="O100" s="621">
        <f t="shared" si="24"/>
        <v>282650900.54910004</v>
      </c>
      <c r="P100" s="621">
        <f t="shared" si="24"/>
        <v>278835733.66571063</v>
      </c>
      <c r="Q100" s="621">
        <f t="shared" si="24"/>
        <v>215816663.2823796</v>
      </c>
      <c r="R100" s="621">
        <f t="shared" si="24"/>
        <v>223751308.51965848</v>
      </c>
      <c r="S100" s="621">
        <f t="shared" si="24"/>
        <v>219670258.33639917</v>
      </c>
      <c r="T100" s="621">
        <f t="shared" si="24"/>
        <v>298765896.5113951</v>
      </c>
      <c r="U100" s="621">
        <f t="shared" si="24"/>
        <v>404986224.48604554</v>
      </c>
      <c r="V100" s="712">
        <f>+V96+V99</f>
        <v>3598050249.0225883</v>
      </c>
      <c r="W100" s="587"/>
    </row>
    <row r="101" spans="4:23" ht="15" thickTop="1" x14ac:dyDescent="0.35">
      <c r="V101" s="587"/>
      <c r="W101" s="587"/>
    </row>
    <row r="102" spans="4:23" x14ac:dyDescent="0.35">
      <c r="D102" s="381"/>
      <c r="J102" s="594">
        <f t="shared" ref="J102:N102" si="25">+J100-J84</f>
        <v>2674204.1948797703</v>
      </c>
      <c r="K102" s="594">
        <f t="shared" si="25"/>
        <v>2615836.7638017535</v>
      </c>
      <c r="L102" s="594">
        <f t="shared" si="25"/>
        <v>2072841.4584400058</v>
      </c>
      <c r="M102" s="594">
        <f t="shared" si="25"/>
        <v>2065521.5399999619</v>
      </c>
      <c r="N102" s="594">
        <f t="shared" si="25"/>
        <v>2063492.2556797862</v>
      </c>
      <c r="O102" s="594">
        <f>+O100-O84</f>
        <v>2060013.4825600982</v>
      </c>
      <c r="P102" s="594">
        <f t="shared" ref="P102:U102" si="26">+P100-P84</f>
        <v>2059506.16147995</v>
      </c>
      <c r="Q102" s="594">
        <f t="shared" si="26"/>
        <v>2062839.9857200086</v>
      </c>
      <c r="R102" s="594">
        <f t="shared" si="26"/>
        <v>2062839.9857200384</v>
      </c>
      <c r="S102" s="594">
        <f t="shared" si="26"/>
        <v>2064289.4745199084</v>
      </c>
      <c r="T102" s="594">
        <f t="shared" si="26"/>
        <v>2059796.0592400432</v>
      </c>
      <c r="U102" s="594">
        <f t="shared" si="26"/>
        <v>2619795.8129197955</v>
      </c>
    </row>
    <row r="103" spans="4:23" x14ac:dyDescent="0.35">
      <c r="J103" s="594">
        <f t="shared" ref="J103:N103" si="27">+J96-J84</f>
        <v>0</v>
      </c>
      <c r="K103" s="594">
        <f t="shared" si="27"/>
        <v>-0.40203827619552612</v>
      </c>
      <c r="L103" s="594">
        <f t="shared" si="27"/>
        <v>0</v>
      </c>
      <c r="M103" s="594">
        <f t="shared" si="27"/>
        <v>0</v>
      </c>
      <c r="N103" s="594">
        <f t="shared" si="27"/>
        <v>0</v>
      </c>
      <c r="O103" s="594">
        <f>+O96-O84</f>
        <v>0</v>
      </c>
      <c r="P103" s="594">
        <f t="shared" ref="P103:U103" si="28">+P96-P84</f>
        <v>0</v>
      </c>
      <c r="Q103" s="594">
        <f t="shared" si="28"/>
        <v>0</v>
      </c>
      <c r="R103" s="594">
        <f t="shared" si="28"/>
        <v>0</v>
      </c>
      <c r="S103" s="594">
        <f t="shared" si="28"/>
        <v>0</v>
      </c>
      <c r="T103" s="594">
        <f t="shared" si="28"/>
        <v>0</v>
      </c>
      <c r="U103" s="594">
        <f t="shared" si="28"/>
        <v>0</v>
      </c>
    </row>
    <row r="106" spans="4:23" ht="16" thickBot="1" x14ac:dyDescent="0.4">
      <c r="D106" s="381"/>
      <c r="I106" s="640" t="s">
        <v>1894</v>
      </c>
      <c r="U106" s="677">
        <v>6406198.4364314079</v>
      </c>
    </row>
    <row r="107" spans="4:23" ht="15" thickTop="1" x14ac:dyDescent="0.35">
      <c r="I107" s="598" t="s">
        <v>295</v>
      </c>
      <c r="J107" s="622">
        <f t="shared" ref="J107" si="29">SUM(J108:J109)</f>
        <v>423042685.96267188</v>
      </c>
      <c r="K107" s="622">
        <f t="shared" ref="K107" si="30">SUM(K108:K109)</f>
        <v>401030260.25354326</v>
      </c>
      <c r="L107" s="622">
        <f t="shared" ref="L107" si="31">SUM(L108:L109)</f>
        <v>372773862.9944731</v>
      </c>
      <c r="M107" s="622">
        <f t="shared" ref="M107" si="32">SUM(M108:M109)</f>
        <v>322942605.12209916</v>
      </c>
      <c r="N107" s="622">
        <f t="shared" ref="N107" si="33">SUM(N108:N109)</f>
        <v>316025163.01835394</v>
      </c>
      <c r="O107" s="622">
        <f t="shared" ref="O107" si="34">SUM(O108:O109)</f>
        <v>313090097.58468533</v>
      </c>
      <c r="P107" s="622">
        <f t="shared" ref="P107" si="35">SUM(P108:P109)</f>
        <v>301912037.77747035</v>
      </c>
      <c r="Q107" s="622">
        <f t="shared" ref="Q107" si="36">SUM(Q108:Q109)</f>
        <v>237041864.05099064</v>
      </c>
      <c r="R107" s="622">
        <f t="shared" ref="R107" si="37">SUM(R108:R109)</f>
        <v>208848962.25577742</v>
      </c>
      <c r="S107" s="622">
        <f t="shared" ref="S107" si="38">SUM(S108:S109)</f>
        <v>213691676.6580832</v>
      </c>
      <c r="T107" s="622">
        <f t="shared" ref="T107" si="39">SUM(T108:T109)</f>
        <v>289918001.97086012</v>
      </c>
      <c r="U107" s="622">
        <f t="shared" ref="U107" si="40">SUM(U108:U109)</f>
        <v>382557385.10564154</v>
      </c>
      <c r="V107" s="673">
        <f>SUM(J107:U107)</f>
        <v>3782874602.7546496</v>
      </c>
    </row>
    <row r="108" spans="4:23" x14ac:dyDescent="0.35">
      <c r="I108" s="598" t="s">
        <v>296</v>
      </c>
      <c r="J108" s="623">
        <f>J97*(1+'MSCOA - Tariff Structure'!$R$2)</f>
        <v>201932448.27489471</v>
      </c>
      <c r="K108" s="623">
        <f>K97*(1+'MSCOA - Tariff Structure'!$R$2)</f>
        <v>190289338.61751837</v>
      </c>
      <c r="L108" s="623">
        <f>L97*(1+'MSCOA - Tariff Structure'!$R$2)</f>
        <v>173354637.54542351</v>
      </c>
      <c r="M108" s="623">
        <f>M97*(1+'MSCOA - Tariff Structure'!$R$2)</f>
        <v>173569503.84813681</v>
      </c>
      <c r="N108" s="623">
        <f>N97*(1+'MSCOA - Tariff Structure'!$R$2)</f>
        <v>173234281.3475745</v>
      </c>
      <c r="O108" s="623">
        <f>O97*(1+'MSCOA - Tariff Structure'!$R$2)</f>
        <v>174126252.5792996</v>
      </c>
      <c r="P108" s="623">
        <f>P97*(1+'MSCOA - Tariff Structure'!$R$2)</f>
        <v>165104549.41707793</v>
      </c>
      <c r="Q108" s="623">
        <f>Q97*(1+'MSCOA - Tariff Structure'!$R$2)</f>
        <v>100848016.55657433</v>
      </c>
      <c r="R108" s="623">
        <f>R97*(1+'MSCOA - Tariff Structure'!$R$2)</f>
        <v>105344690.19226043</v>
      </c>
      <c r="S108" s="623">
        <f>S97*(1+'MSCOA - Tariff Structure'!$R$2)</f>
        <v>106066810.5189722</v>
      </c>
      <c r="T108" s="623">
        <f>T97*(1+'MSCOA - Tariff Structure'!$R$2)</f>
        <v>186622310.02261016</v>
      </c>
      <c r="U108" s="623">
        <f>U97*(1+'MSCOA - Tariff Structure'!$R$2)</f>
        <v>233436779.30626753</v>
      </c>
      <c r="V108" s="668">
        <f>SUM(J108:U108)</f>
        <v>1983929618.2266102</v>
      </c>
    </row>
    <row r="109" spans="4:23" x14ac:dyDescent="0.35">
      <c r="I109" s="598" t="s">
        <v>297</v>
      </c>
      <c r="J109" s="623">
        <v>221110237.68777719</v>
      </c>
      <c r="K109" s="623">
        <v>210740921.63602492</v>
      </c>
      <c r="L109" s="623">
        <v>199419225.44904962</v>
      </c>
      <c r="M109" s="623">
        <v>149373101.27396232</v>
      </c>
      <c r="N109" s="623">
        <v>142790881.67077944</v>
      </c>
      <c r="O109" s="623">
        <v>138963845.00538576</v>
      </c>
      <c r="P109" s="623">
        <v>136807488.36039245</v>
      </c>
      <c r="Q109" s="623">
        <v>136193847.49441633</v>
      </c>
      <c r="R109" s="623">
        <v>103504272.063517</v>
      </c>
      <c r="S109" s="623">
        <v>107624866.139111</v>
      </c>
      <c r="T109" s="623">
        <f>135916702.94825-32621011</f>
        <v>103295691.94825</v>
      </c>
      <c r="U109" s="623">
        <v>149120605.79937401</v>
      </c>
      <c r="V109" s="669">
        <f>SUM(J109:U109)</f>
        <v>1798944984.5280402</v>
      </c>
    </row>
    <row r="110" spans="4:23" x14ac:dyDescent="0.35">
      <c r="I110" s="598" t="s">
        <v>298</v>
      </c>
      <c r="J110" s="623">
        <f>J99*(1+'MSCOA - Tariff Structure'!$R$2)</f>
        <v>3000457.1066553597</v>
      </c>
      <c r="K110" s="623">
        <f>K99*(1+'MSCOA - Tariff Structure'!$R$2)</f>
        <v>2934969.3000724795</v>
      </c>
      <c r="L110" s="623">
        <f>L99*(1+'MSCOA - Tariff Structure'!$R$2)</f>
        <v>2325728.11636968</v>
      </c>
      <c r="M110" s="623">
        <f>M99*(1+'MSCOA - Tariff Structure'!$R$2)</f>
        <v>2317515.1678799996</v>
      </c>
      <c r="N110" s="623">
        <f>N99*(1+'MSCOA - Tariff Structure'!$R$2)</f>
        <v>2315238.3108729599</v>
      </c>
      <c r="O110" s="623">
        <f>O99*(1+'MSCOA - Tariff Structure'!$R$2)</f>
        <v>2311335.1274323198</v>
      </c>
      <c r="P110" s="623">
        <f>P99*(1+'MSCOA - Tariff Structure'!$R$2)</f>
        <v>2310765.9131805599</v>
      </c>
      <c r="Q110" s="623">
        <f>Q99*(1+'MSCOA - Tariff Structure'!$R$2)</f>
        <v>2314506.4639778398</v>
      </c>
      <c r="R110" s="623">
        <f>R99*(1+'MSCOA - Tariff Structure'!$R$2)</f>
        <v>2314506.4639778398</v>
      </c>
      <c r="S110" s="623">
        <f>S99*(1+'MSCOA - Tariff Structure'!$R$2)</f>
        <v>2316132.7904114397</v>
      </c>
      <c r="T110" s="623">
        <f>T99*(1+'MSCOA - Tariff Structure'!$R$2)</f>
        <v>2311091.1784672798</v>
      </c>
      <c r="U110" s="623">
        <f>U99*(1+'MSCOA - Tariff Structure'!$R$2)</f>
        <v>2939410.9020962403</v>
      </c>
      <c r="V110" s="667">
        <f>SUM(J110:U110)</f>
        <v>29711656.841394</v>
      </c>
    </row>
    <row r="111" spans="4:23" ht="16" thickBot="1" x14ac:dyDescent="0.4">
      <c r="I111" s="588" t="s">
        <v>295</v>
      </c>
      <c r="J111" s="621">
        <f t="shared" ref="J111" si="41">J110+J107</f>
        <v>426043143.06932724</v>
      </c>
      <c r="K111" s="621">
        <f t="shared" ref="K111" si="42">K110+K107</f>
        <v>403965229.55361575</v>
      </c>
      <c r="L111" s="621">
        <f t="shared" ref="L111" si="43">L110+L107</f>
        <v>375099591.11084276</v>
      </c>
      <c r="M111" s="621">
        <f t="shared" ref="M111" si="44">M110+M107</f>
        <v>325260120.28997916</v>
      </c>
      <c r="N111" s="621">
        <f t="shared" ref="N111" si="45">N110+N107</f>
        <v>318340401.32922691</v>
      </c>
      <c r="O111" s="621">
        <f t="shared" ref="O111" si="46">O110+O107</f>
        <v>315401432.71211767</v>
      </c>
      <c r="P111" s="621">
        <f t="shared" ref="P111" si="47">P110+P107</f>
        <v>304222803.69065094</v>
      </c>
      <c r="Q111" s="621">
        <f t="shared" ref="Q111" si="48">Q110+Q107</f>
        <v>239356370.51496848</v>
      </c>
      <c r="R111" s="621">
        <f t="shared" ref="R111" si="49">R110+R107</f>
        <v>211163468.71975526</v>
      </c>
      <c r="S111" s="621">
        <f t="shared" ref="S111" si="50">S110+S107</f>
        <v>216007809.44849464</v>
      </c>
      <c r="T111" s="621">
        <f t="shared" ref="T111" si="51">T110+T107</f>
        <v>292229093.1493274</v>
      </c>
      <c r="U111" s="621">
        <f t="shared" ref="U111" si="52">U110+U107</f>
        <v>385496796.00773776</v>
      </c>
      <c r="V111" s="712">
        <f>V110+V107</f>
        <v>3812586259.5960436</v>
      </c>
      <c r="W111" s="824"/>
    </row>
    <row r="112" spans="4:23" ht="15" thickTop="1" x14ac:dyDescent="0.35">
      <c r="V112" s="594">
        <f>+'MSCOA - Tariff Structure'!R136</f>
        <v>0</v>
      </c>
      <c r="W112" s="594">
        <f>+V112/12</f>
        <v>0</v>
      </c>
    </row>
    <row r="114" spans="9:23" ht="15.5" x14ac:dyDescent="0.35">
      <c r="I114" s="640" t="s">
        <v>1901</v>
      </c>
    </row>
    <row r="115" spans="9:23" x14ac:dyDescent="0.35">
      <c r="I115" s="599" t="s">
        <v>295</v>
      </c>
      <c r="J115" s="624">
        <f t="shared" ref="J115" si="53">SUM(J116:J117)</f>
        <v>457713691.4823966</v>
      </c>
      <c r="K115" s="624">
        <f t="shared" ref="K115" si="54">SUM(K116:K117)</f>
        <v>433780531.63737273</v>
      </c>
      <c r="L115" s="624">
        <f t="shared" ref="L115" si="55">SUM(L116:L117)</f>
        <v>402903433.42076194</v>
      </c>
      <c r="M115" s="624">
        <f t="shared" ref="M115" si="56">SUM(M116:M117)</f>
        <v>350796697.25787038</v>
      </c>
      <c r="N115" s="624">
        <f t="shared" ref="N115" si="57">SUM(N116:N117)</f>
        <v>343534905.46230906</v>
      </c>
      <c r="O115" s="624">
        <f t="shared" ref="O115" si="58">SUM(O116:O117)</f>
        <v>340534400.77476627</v>
      </c>
      <c r="P115" s="624">
        <f t="shared" ref="P115" si="59">SUM(P116:P117)</f>
        <v>328138457.36976612</v>
      </c>
      <c r="Q115" s="624">
        <f t="shared" ref="Q115" si="60">SUM(Q116:Q117)</f>
        <v>255272246.08874905</v>
      </c>
      <c r="R115" s="624">
        <f t="shared" ref="R115" si="61">SUM(R116:R117)</f>
        <v>267973211.35453981</v>
      </c>
      <c r="S115" s="624">
        <f t="shared" ref="S115" si="62">SUM(S116:S117)</f>
        <v>199970761.00483477</v>
      </c>
      <c r="T115" s="624">
        <f t="shared" ref="T115" si="63">SUM(T116:T117)</f>
        <v>311392658.74928385</v>
      </c>
      <c r="U115" s="624">
        <f t="shared" ref="U115" si="64">SUM(U116:U117)</f>
        <v>417823404.60639</v>
      </c>
      <c r="V115" s="672">
        <f>SUM(J115:U115)</f>
        <v>4109834399.2090406</v>
      </c>
    </row>
    <row r="116" spans="9:23" x14ac:dyDescent="0.35">
      <c r="I116" s="599" t="s">
        <v>296</v>
      </c>
      <c r="J116" s="625">
        <f>J108*(1+'MSCOA - Tariff Structure'!$S$2)</f>
        <v>226972071.86098167</v>
      </c>
      <c r="K116" s="625">
        <f>K108*(1+'MSCOA - Tariff Structure'!$S$2)</f>
        <v>213885216.60609066</v>
      </c>
      <c r="L116" s="625">
        <f>L108*(1+'MSCOA - Tariff Structure'!$S$2)</f>
        <v>194850612.60105604</v>
      </c>
      <c r="M116" s="625">
        <f>M108*(1+'MSCOA - Tariff Structure'!$S$2)</f>
        <v>195092122.32530579</v>
      </c>
      <c r="N116" s="625">
        <f>N108*(1+'MSCOA - Tariff Structure'!$S$2)</f>
        <v>194715332.23467377</v>
      </c>
      <c r="O116" s="625">
        <f>O108*(1+'MSCOA - Tariff Structure'!$S$2)</f>
        <v>195717907.89913276</v>
      </c>
      <c r="P116" s="625">
        <f>P108*(1+'MSCOA - Tariff Structure'!$S$2)</f>
        <v>185577513.5447956</v>
      </c>
      <c r="Q116" s="625">
        <f>Q108*(1+'MSCOA - Tariff Structure'!$S$2)</f>
        <v>113353170.60958956</v>
      </c>
      <c r="R116" s="625">
        <f>R108*(1+'MSCOA - Tariff Structure'!$S$2)</f>
        <v>118407431.77610074</v>
      </c>
      <c r="S116" s="625">
        <f>S108*(1+'MSCOA - Tariff Structure'!$S$2)</f>
        <v>119219095.02332477</v>
      </c>
      <c r="T116" s="625">
        <f>T108*(1+'MSCOA - Tariff Structure'!$S$2)</f>
        <v>209763476.46541384</v>
      </c>
      <c r="U116" s="625">
        <f>U108*(1+'MSCOA - Tariff Structure'!$S$2)</f>
        <v>262382939.94024473</v>
      </c>
      <c r="V116" s="670">
        <f>SUM(J116:U116)</f>
        <v>2229936890.8867097</v>
      </c>
    </row>
    <row r="117" spans="9:23" x14ac:dyDescent="0.35">
      <c r="I117" s="599" t="s">
        <v>297</v>
      </c>
      <c r="J117" s="626">
        <v>230741619.62141496</v>
      </c>
      <c r="K117" s="626">
        <v>219895315.03128207</v>
      </c>
      <c r="L117" s="626">
        <v>208052820.8197059</v>
      </c>
      <c r="M117" s="626">
        <v>155704574.93256459</v>
      </c>
      <c r="N117" s="626">
        <v>148819573.22763529</v>
      </c>
      <c r="O117" s="626">
        <v>144816492.87563351</v>
      </c>
      <c r="P117" s="626">
        <v>142560943.82497051</v>
      </c>
      <c r="Q117" s="626">
        <v>141919075.47915947</v>
      </c>
      <c r="R117" s="626">
        <v>149565779.57843909</v>
      </c>
      <c r="S117" s="626">
        <f>143415920.98151-62664255</f>
        <v>80751665.981510013</v>
      </c>
      <c r="T117" s="626">
        <v>101629182.28387</v>
      </c>
      <c r="U117" s="626">
        <v>155440464.66614524</v>
      </c>
      <c r="V117" s="671">
        <f>SUM(J117:U117)</f>
        <v>1879897508.3223307</v>
      </c>
    </row>
    <row r="118" spans="9:23" x14ac:dyDescent="0.35">
      <c r="I118" s="599" t="s">
        <v>298</v>
      </c>
      <c r="J118" s="624">
        <f>J110*(1+'MSCOA - Tariff Structure'!$S$2)</f>
        <v>3372513.7878806246</v>
      </c>
      <c r="K118" s="624">
        <f>K110*(1+'MSCOA - Tariff Structure'!$S$2)</f>
        <v>3298905.4932814674</v>
      </c>
      <c r="L118" s="624">
        <f>L110*(1+'MSCOA - Tariff Structure'!$S$2)</f>
        <v>2614118.4027995206</v>
      </c>
      <c r="M118" s="624">
        <f>M110*(1+'MSCOA - Tariff Structure'!$S$2)</f>
        <v>2604887.04869712</v>
      </c>
      <c r="N118" s="624">
        <f>N110*(1+'MSCOA - Tariff Structure'!$S$2)</f>
        <v>2602327.861421207</v>
      </c>
      <c r="O118" s="624">
        <f>O110*(1+'MSCOA - Tariff Structure'!$S$2)</f>
        <v>2597940.6832339279</v>
      </c>
      <c r="P118" s="624">
        <f>P110*(1+'MSCOA - Tariff Structure'!$S$2)</f>
        <v>2597300.8864149498</v>
      </c>
      <c r="Q118" s="624">
        <f>Q110*(1+'MSCOA - Tariff Structure'!$S$2)</f>
        <v>2601505.2655110923</v>
      </c>
      <c r="R118" s="624">
        <f>R110*(1+'MSCOA - Tariff Structure'!$S$2)</f>
        <v>2601505.2655110923</v>
      </c>
      <c r="S118" s="624">
        <f>S110*(1+'MSCOA - Tariff Structure'!$S$2)</f>
        <v>2603333.2564224587</v>
      </c>
      <c r="T118" s="624">
        <f>T110*(1+'MSCOA - Tariff Structure'!$S$2)</f>
        <v>2597666.4845972229</v>
      </c>
      <c r="U118" s="624">
        <f>U110*(1+'MSCOA - Tariff Structure'!$S$2)</f>
        <v>3303897.8539561746</v>
      </c>
      <c r="V118" s="666">
        <f>SUM(J118:U118)</f>
        <v>33395902.289726857</v>
      </c>
    </row>
    <row r="119" spans="9:23" ht="16" thickBot="1" x14ac:dyDescent="0.4">
      <c r="I119" s="588" t="s">
        <v>295</v>
      </c>
      <c r="J119" s="600">
        <f>J118+J115</f>
        <v>461086205.2702772</v>
      </c>
      <c r="K119" s="600">
        <v>311032262.4018563</v>
      </c>
      <c r="L119" s="600">
        <v>225510992.37519026</v>
      </c>
      <c r="M119" s="600">
        <v>230662146.40053257</v>
      </c>
      <c r="N119" s="600">
        <v>222922453.6584309</v>
      </c>
      <c r="O119" s="600">
        <v>228941128.37371519</v>
      </c>
      <c r="P119" s="600">
        <v>220578507.05558565</v>
      </c>
      <c r="Q119" s="600">
        <v>228007322.84770188</v>
      </c>
      <c r="R119" s="600">
        <v>219368370.08243343</v>
      </c>
      <c r="S119" s="600">
        <v>212544135.36012834</v>
      </c>
      <c r="T119" s="600">
        <v>230929335.16652182</v>
      </c>
      <c r="U119" s="600">
        <v>305966983.23778534</v>
      </c>
      <c r="V119" s="713">
        <f>V118+V115</f>
        <v>4143230301.4987674</v>
      </c>
      <c r="W119" s="824">
        <v>-3830878490.9175</v>
      </c>
    </row>
    <row r="120" spans="9:23" ht="15" thickTop="1" x14ac:dyDescent="0.35">
      <c r="W120" s="594">
        <f>V119+W119</f>
        <v>312351810.58126736</v>
      </c>
    </row>
    <row r="122" spans="9:23" ht="15.5" x14ac:dyDescent="0.35">
      <c r="I122" s="640" t="s">
        <v>1630</v>
      </c>
    </row>
    <row r="123" spans="9:23" x14ac:dyDescent="0.35">
      <c r="I123" s="641" t="s">
        <v>295</v>
      </c>
      <c r="J123" s="642">
        <f>SUM(J124:J125)</f>
        <v>486275025.83089817</v>
      </c>
      <c r="K123" s="642">
        <f t="shared" ref="K123:U123" si="65">SUM(K124:K125)</f>
        <v>460848436.81154478</v>
      </c>
      <c r="L123" s="642">
        <f t="shared" si="65"/>
        <v>428044607.66621751</v>
      </c>
      <c r="M123" s="642">
        <f t="shared" si="65"/>
        <v>372686411.16676152</v>
      </c>
      <c r="N123" s="642">
        <f t="shared" si="65"/>
        <v>364971483.56315714</v>
      </c>
      <c r="O123" s="642">
        <f t="shared" si="65"/>
        <v>361783747.38311172</v>
      </c>
      <c r="P123" s="642">
        <f t="shared" si="65"/>
        <v>348614297.10963953</v>
      </c>
      <c r="Q123" s="642">
        <f t="shared" si="65"/>
        <v>271201234.24468696</v>
      </c>
      <c r="R123" s="642">
        <f t="shared" si="65"/>
        <v>284694739.74306309</v>
      </c>
      <c r="S123" s="642">
        <f t="shared" si="65"/>
        <v>212448936.4915365</v>
      </c>
      <c r="T123" s="642">
        <f t="shared" si="65"/>
        <v>330823560.65523911</v>
      </c>
      <c r="U123" s="642">
        <f t="shared" si="65"/>
        <v>443895585.05382872</v>
      </c>
      <c r="V123" s="642">
        <f>SUM(J123:U123)</f>
        <v>4366288065.7196846</v>
      </c>
    </row>
    <row r="124" spans="9:23" x14ac:dyDescent="0.35">
      <c r="I124" s="641" t="s">
        <v>296</v>
      </c>
      <c r="J124" s="643">
        <f>J116*(1+'Tariff Structure to complete'!$U$2)</f>
        <v>241135129.14510694</v>
      </c>
      <c r="K124" s="644">
        <f>K116*(1+'Tariff Structure to complete'!$U$2)</f>
        <v>227231654.12231073</v>
      </c>
      <c r="L124" s="644">
        <f>L116*(1+'Tariff Structure to complete'!$U$2)</f>
        <v>207009290.82736194</v>
      </c>
      <c r="M124" s="644">
        <f>M116*(1+'Tariff Structure to complete'!$U$2)</f>
        <v>207265870.75840488</v>
      </c>
      <c r="N124" s="644">
        <f>N116*(1+'Tariff Structure to complete'!$U$2)</f>
        <v>206865568.96611741</v>
      </c>
      <c r="O124" s="644">
        <f>O116*(1+'Tariff Structure to complete'!$U$2)</f>
        <v>207930705.35203865</v>
      </c>
      <c r="P124" s="644">
        <f>P116*(1+'Tariff Structure to complete'!$U$2)</f>
        <v>197157550.38999084</v>
      </c>
      <c r="Q124" s="644">
        <f>Q116*(1+'Tariff Structure to complete'!$U$2)</f>
        <v>120426408.45562795</v>
      </c>
      <c r="R124" s="644">
        <f>R116*(1+'Tariff Structure to complete'!$U$2)</f>
        <v>125796055.51892942</v>
      </c>
      <c r="S124" s="644">
        <f>S116*(1+'Tariff Structure to complete'!$U$2)</f>
        <v>126658366.55278024</v>
      </c>
      <c r="T124" s="644">
        <f>T116*(1+'Tariff Structure to complete'!$U$2)</f>
        <v>222852717.39685565</v>
      </c>
      <c r="U124" s="644">
        <f>U116*(1+'Tariff Structure to complete'!$U$2)</f>
        <v>278755635.39251602</v>
      </c>
      <c r="V124" s="645">
        <f>SUM(J124:U124)</f>
        <v>2369084952.8780403</v>
      </c>
    </row>
    <row r="125" spans="9:23" x14ac:dyDescent="0.35">
      <c r="I125" s="641" t="s">
        <v>297</v>
      </c>
      <c r="J125" s="646">
        <f>J117*(1+'Tariff Structure to complete'!$U$2)</f>
        <v>245139896.68579125</v>
      </c>
      <c r="K125" s="647">
        <f>K117*(1+'Tariff Structure to complete'!$U$2)</f>
        <v>233616782.68923408</v>
      </c>
      <c r="L125" s="647">
        <f>L117*(1+'Tariff Structure to complete'!$U$2)</f>
        <v>221035316.83885556</v>
      </c>
      <c r="M125" s="647">
        <f>M117*(1+'Tariff Structure to complete'!$U$2)</f>
        <v>165420540.40835661</v>
      </c>
      <c r="N125" s="647">
        <f>N117*(1+'Tariff Structure to complete'!$U$2)</f>
        <v>158105914.59703973</v>
      </c>
      <c r="O125" s="647">
        <f>O117*(1+'Tariff Structure to complete'!$U$2)</f>
        <v>153853042.03107303</v>
      </c>
      <c r="P125" s="647">
        <f>P117*(1+'Tariff Structure to complete'!$U$2)</f>
        <v>151456746.71964869</v>
      </c>
      <c r="Q125" s="647">
        <f>Q117*(1+'Tariff Structure to complete'!$U$2)</f>
        <v>150774825.78905901</v>
      </c>
      <c r="R125" s="647">
        <f>R117*(1+'Tariff Structure to complete'!$U$2)</f>
        <v>158898684.2241337</v>
      </c>
      <c r="S125" s="647">
        <f>S117*(1+'Tariff Structure to complete'!$U$2)</f>
        <v>85790569.938756242</v>
      </c>
      <c r="T125" s="647">
        <f>T117*(1+'Tariff Structure to complete'!$U$2)</f>
        <v>107970843.25838348</v>
      </c>
      <c r="U125" s="647">
        <f>U117*(1+'Tariff Structure to complete'!$U$2)</f>
        <v>165139949.6613127</v>
      </c>
      <c r="V125" s="648">
        <f>SUM(J125:U125)</f>
        <v>1997203112.8416438</v>
      </c>
    </row>
    <row r="126" spans="9:23" x14ac:dyDescent="0.35">
      <c r="I126" s="641" t="s">
        <v>298</v>
      </c>
      <c r="J126" s="642">
        <f>J118*(1+'Tariff Structure to complete'!$U$2)</f>
        <v>3582958.6482443758</v>
      </c>
      <c r="K126" s="642">
        <f>K118*(1+'Tariff Structure to complete'!$U$2)</f>
        <v>3504757.196062231</v>
      </c>
      <c r="L126" s="642">
        <f>L118*(1+'Tariff Structure to complete'!$U$2)</f>
        <v>2777239.3911342109</v>
      </c>
      <c r="M126" s="642">
        <f>M118*(1+'Tariff Structure to complete'!$U$2)</f>
        <v>2767432.0005358201</v>
      </c>
      <c r="N126" s="642">
        <f>N118*(1+'Tariff Structure to complete'!$U$2)</f>
        <v>2764713.1199738905</v>
      </c>
      <c r="O126" s="642">
        <f>O118*(1+'Tariff Structure to complete'!$U$2)</f>
        <v>2760052.1818677252</v>
      </c>
      <c r="P126" s="642">
        <f>P118*(1+'Tariff Structure to complete'!$U$2)</f>
        <v>2759372.4617272425</v>
      </c>
      <c r="Q126" s="642">
        <f>Q118*(1+'Tariff Structure to complete'!$U$2)</f>
        <v>2763839.1940789847</v>
      </c>
      <c r="R126" s="642">
        <f>R118*(1+'Tariff Structure to complete'!$U$2)</f>
        <v>2763839.1940789847</v>
      </c>
      <c r="S126" s="642">
        <f>S118*(1+'Tariff Structure to complete'!$U$2)</f>
        <v>2765781.2516232203</v>
      </c>
      <c r="T126" s="642">
        <f>T118*(1+'Tariff Structure to complete'!$U$2)</f>
        <v>2759760.8732360895</v>
      </c>
      <c r="U126" s="642">
        <f>U118*(1+'Tariff Structure to complete'!$U$2)</f>
        <v>3510061.0800430398</v>
      </c>
      <c r="V126" s="649">
        <f>SUM(J126:U126)</f>
        <v>35479806.592605814</v>
      </c>
    </row>
    <row r="127" spans="9:23" ht="15" thickBot="1" x14ac:dyDescent="0.4">
      <c r="I127" s="588" t="s">
        <v>295</v>
      </c>
      <c r="J127" s="600">
        <f>J126+J123</f>
        <v>489857984.47914255</v>
      </c>
      <c r="K127" s="600">
        <v>311032262.4018563</v>
      </c>
      <c r="L127" s="600">
        <v>225510992.37519026</v>
      </c>
      <c r="M127" s="600">
        <v>230662146.40053257</v>
      </c>
      <c r="N127" s="600">
        <v>222922453.6584309</v>
      </c>
      <c r="O127" s="600">
        <v>228941128.37371519</v>
      </c>
      <c r="P127" s="600">
        <v>220578507.05558565</v>
      </c>
      <c r="Q127" s="600">
        <v>228007322.84770188</v>
      </c>
      <c r="R127" s="600">
        <v>219368370.08243343</v>
      </c>
      <c r="S127" s="600">
        <v>212544135.36012834</v>
      </c>
      <c r="T127" s="600">
        <v>230929335.16652182</v>
      </c>
      <c r="U127" s="600">
        <v>305966983.23778534</v>
      </c>
      <c r="V127" s="600">
        <f>V126+V123</f>
        <v>4401767872.3122902</v>
      </c>
    </row>
  </sheetData>
  <pageMargins left="0.7" right="0.7" top="0.75" bottom="0.75" header="0.3" footer="0.3"/>
  <pageSetup paperSize="8" scale="95" orientation="landscape" horizontalDpi="4294967292" verticalDpi="4294967292" r:id="rId1"/>
  <colBreaks count="1" manualBreakCount="1">
    <brk id="9"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0E12-C734-4AF6-B3F0-33FF53671BBC}">
  <sheetPr>
    <tabColor rgb="FF00FF00"/>
  </sheetPr>
  <dimension ref="A1:AB127"/>
  <sheetViews>
    <sheetView workbookViewId="0">
      <selection activeCell="K17" sqref="K17"/>
    </sheetView>
  </sheetViews>
  <sheetFormatPr defaultColWidth="8.6328125" defaultRowHeight="14.5" x14ac:dyDescent="0.35"/>
  <cols>
    <col min="1" max="1" width="19.36328125" style="245" customWidth="1"/>
    <col min="2" max="2" width="13.6328125" style="245" customWidth="1"/>
    <col min="3" max="8" width="0" style="245" hidden="1" customWidth="1"/>
    <col min="9" max="9" width="15.36328125" style="588" customWidth="1"/>
    <col min="10" max="21" width="14.90625" style="594" bestFit="1" customWidth="1"/>
    <col min="22" max="22" width="17.54296875" style="594" customWidth="1"/>
    <col min="23" max="23" width="19.453125" style="594" customWidth="1"/>
    <col min="24" max="24" width="0" style="245" hidden="1" customWidth="1"/>
    <col min="25" max="25" width="8.6328125" style="245" bestFit="1"/>
    <col min="26" max="26" width="15.6328125" style="245" bestFit="1" customWidth="1"/>
    <col min="27" max="27" width="14.36328125" style="245" bestFit="1" customWidth="1"/>
    <col min="28" max="28" width="15.453125" style="245" bestFit="1" customWidth="1"/>
    <col min="29" max="16384" width="8.6328125" style="245"/>
  </cols>
  <sheetData>
    <row r="1" spans="1:28" s="247" customFormat="1" x14ac:dyDescent="0.35">
      <c r="A1" s="247" t="s">
        <v>531</v>
      </c>
      <c r="B1" s="247" t="s">
        <v>532</v>
      </c>
      <c r="C1" s="247" t="s">
        <v>548</v>
      </c>
      <c r="D1" s="247" t="s">
        <v>549</v>
      </c>
      <c r="E1" s="247" t="s">
        <v>548</v>
      </c>
      <c r="F1" s="247" t="s">
        <v>549</v>
      </c>
      <c r="G1" s="247" t="s">
        <v>1429</v>
      </c>
      <c r="H1" s="247" t="s">
        <v>1429</v>
      </c>
      <c r="I1" s="585" t="s">
        <v>282</v>
      </c>
      <c r="J1" s="585" t="s">
        <v>521</v>
      </c>
      <c r="K1" s="585" t="s">
        <v>522</v>
      </c>
      <c r="L1" s="585" t="s">
        <v>523</v>
      </c>
      <c r="M1" s="585" t="s">
        <v>524</v>
      </c>
      <c r="N1" s="585" t="s">
        <v>525</v>
      </c>
      <c r="O1" s="585" t="s">
        <v>526</v>
      </c>
      <c r="P1" s="585" t="s">
        <v>527</v>
      </c>
      <c r="Q1" s="585" t="s">
        <v>528</v>
      </c>
      <c r="R1" s="585" t="s">
        <v>540</v>
      </c>
      <c r="S1" s="585" t="s">
        <v>541</v>
      </c>
      <c r="T1" s="585" t="s">
        <v>529</v>
      </c>
      <c r="U1" s="585" t="s">
        <v>530</v>
      </c>
      <c r="V1" s="586" t="s">
        <v>281</v>
      </c>
      <c r="W1" s="586" t="s">
        <v>280</v>
      </c>
    </row>
    <row r="2" spans="1:28" x14ac:dyDescent="0.35">
      <c r="A2" s="247" t="s">
        <v>1520</v>
      </c>
      <c r="I2" s="601">
        <f>SUM(I3:I5)</f>
        <v>119458011.05647787</v>
      </c>
      <c r="J2" s="602"/>
      <c r="K2" s="602"/>
      <c r="L2" s="602"/>
      <c r="M2" s="602"/>
      <c r="N2" s="602"/>
      <c r="O2" s="602"/>
      <c r="P2" s="602"/>
      <c r="Q2" s="602"/>
      <c r="R2" s="602"/>
      <c r="S2" s="602"/>
      <c r="T2" s="602"/>
      <c r="U2" s="602"/>
      <c r="V2" s="603"/>
      <c r="W2" s="603"/>
    </row>
    <row r="3" spans="1:28" x14ac:dyDescent="0.35">
      <c r="A3" s="312" t="s">
        <v>309</v>
      </c>
      <c r="B3" s="312" t="s">
        <v>307</v>
      </c>
      <c r="C3" s="312" t="s">
        <v>824</v>
      </c>
      <c r="D3" s="312" t="s">
        <v>825</v>
      </c>
      <c r="E3" s="245" t="s">
        <v>824</v>
      </c>
      <c r="F3" s="245" t="s">
        <v>825</v>
      </c>
      <c r="I3" s="723">
        <f>SUM(J3:U3)</f>
        <v>27263374.931496385</v>
      </c>
      <c r="J3" s="603">
        <v>2753089.8112690886</v>
      </c>
      <c r="K3" s="603">
        <v>2692972.0548337167</v>
      </c>
      <c r="L3" s="603">
        <v>2133971.5583610609</v>
      </c>
      <c r="M3" s="603">
        <v>2126506.7262403029</v>
      </c>
      <c r="N3" s="603">
        <v>2124416.5732464907</v>
      </c>
      <c r="O3" s="603">
        <v>2120833.4538285271</v>
      </c>
      <c r="P3" s="603">
        <v>2120310.9155800738</v>
      </c>
      <c r="Q3" s="603">
        <v>2123744.7383556226</v>
      </c>
      <c r="R3" s="603">
        <v>2123744.7383556226</v>
      </c>
      <c r="S3" s="603">
        <v>2125237.7047797744</v>
      </c>
      <c r="T3" s="603">
        <v>2120833.4538285271</v>
      </c>
      <c r="U3" s="603">
        <v>2697713.2028175788</v>
      </c>
      <c r="V3" s="628">
        <f>SUM(L3:T3)</f>
        <v>19119599.862576</v>
      </c>
      <c r="W3" s="628">
        <f>U3+J3+K3</f>
        <v>8143775.0689203842</v>
      </c>
      <c r="Z3" s="270">
        <f>V3+V7</f>
        <v>19128184.419514872</v>
      </c>
      <c r="AA3" s="270">
        <f>W3+W7</f>
        <v>8147093.8725090874</v>
      </c>
      <c r="AB3" s="382">
        <f>SUM(Z3:AA3)</f>
        <v>27275278.292023961</v>
      </c>
    </row>
    <row r="4" spans="1:28" x14ac:dyDescent="0.35">
      <c r="A4" s="312" t="s">
        <v>309</v>
      </c>
      <c r="B4" s="312" t="s">
        <v>307</v>
      </c>
      <c r="C4" s="312" t="s">
        <v>824</v>
      </c>
      <c r="D4" s="312" t="s">
        <v>825</v>
      </c>
      <c r="E4" s="245" t="s">
        <v>824</v>
      </c>
      <c r="F4" s="245" t="s">
        <v>825</v>
      </c>
      <c r="I4" s="604">
        <f>SUM(J4:U4)</f>
        <v>57975038.189208031</v>
      </c>
      <c r="J4" s="603">
        <v>5982333.0006770734</v>
      </c>
      <c r="K4" s="603">
        <v>3454084.5287332824</v>
      </c>
      <c r="L4" s="603">
        <v>3604290.45948317</v>
      </c>
      <c r="M4" s="603">
        <v>3532839.3778477027</v>
      </c>
      <c r="N4" s="603">
        <v>2977691.3852168345</v>
      </c>
      <c r="O4" s="603">
        <v>5319655.6850719992</v>
      </c>
      <c r="P4" s="603">
        <v>4939236.9135535331</v>
      </c>
      <c r="Q4" s="603">
        <v>4849593.1444049543</v>
      </c>
      <c r="R4" s="603">
        <v>5424600.8326677335</v>
      </c>
      <c r="S4" s="603">
        <v>5316679.4001265671</v>
      </c>
      <c r="T4" s="603">
        <v>5582839.6009237459</v>
      </c>
      <c r="U4" s="603">
        <v>6991193.8605014402</v>
      </c>
      <c r="V4" s="605">
        <f>SUM(L4:T4)</f>
        <v>41547426.799296245</v>
      </c>
      <c r="W4" s="605">
        <f>U4+J4+K4</f>
        <v>16427611.389911797</v>
      </c>
      <c r="X4" s="245">
        <f>+W4+V4+V5+W5+V8+V9+W8+W9</f>
        <v>92263285.645485044</v>
      </c>
    </row>
    <row r="5" spans="1:28" x14ac:dyDescent="0.35">
      <c r="A5" s="312" t="s">
        <v>309</v>
      </c>
      <c r="B5" s="312" t="s">
        <v>307</v>
      </c>
      <c r="C5" s="312" t="s">
        <v>824</v>
      </c>
      <c r="D5" s="312" t="s">
        <v>825</v>
      </c>
      <c r="I5" s="604">
        <f>SUM(J5:U5)</f>
        <v>34219597.935773462</v>
      </c>
      <c r="J5" s="603">
        <v>5370344.4371548044</v>
      </c>
      <c r="K5" s="603">
        <v>613995.78914500051</v>
      </c>
      <c r="L5" s="603">
        <v>1963655.4788921424</v>
      </c>
      <c r="M5" s="603">
        <v>2172354.1251584301</v>
      </c>
      <c r="N5" s="603">
        <v>2162197.0587323424</v>
      </c>
      <c r="O5" s="603">
        <v>3110924.2573150289</v>
      </c>
      <c r="P5" s="603">
        <v>2888443.5593130658</v>
      </c>
      <c r="Q5" s="603">
        <v>2836369.3044883017</v>
      </c>
      <c r="R5" s="603">
        <v>3172563.5782912867</v>
      </c>
      <c r="S5" s="603">
        <v>3109359.6402467694</v>
      </c>
      <c r="T5" s="603">
        <v>3264930.408667258</v>
      </c>
      <c r="U5" s="603">
        <v>3554460.2983690361</v>
      </c>
      <c r="V5" s="605">
        <f>SUM(L5:T5)</f>
        <v>24680797.411104627</v>
      </c>
      <c r="W5" s="605">
        <f>U5+J5+K5</f>
        <v>9538800.5246688407</v>
      </c>
    </row>
    <row r="6" spans="1:28" x14ac:dyDescent="0.35">
      <c r="A6" s="247" t="s">
        <v>1521</v>
      </c>
      <c r="I6" s="825">
        <f>SUM(I7:I9)</f>
        <v>80552.881031093333</v>
      </c>
      <c r="J6" s="602"/>
      <c r="K6" s="602"/>
      <c r="L6" s="602"/>
      <c r="M6" s="602"/>
      <c r="N6" s="602"/>
      <c r="O6" s="602"/>
      <c r="P6" s="602"/>
      <c r="Q6" s="602"/>
      <c r="R6" s="602"/>
      <c r="S6" s="602"/>
      <c r="T6" s="602"/>
      <c r="U6" s="602"/>
      <c r="V6" s="603">
        <f>V5+V4+V3</f>
        <v>85347824.072976872</v>
      </c>
      <c r="W6" s="603">
        <f>W5+W4+W3</f>
        <v>34110186.983501017</v>
      </c>
    </row>
    <row r="7" spans="1:28" x14ac:dyDescent="0.35">
      <c r="A7" s="312" t="s">
        <v>309</v>
      </c>
      <c r="B7" s="312" t="s">
        <v>307</v>
      </c>
      <c r="C7" s="312" t="s">
        <v>824</v>
      </c>
      <c r="D7" s="312" t="s">
        <v>825</v>
      </c>
      <c r="E7" s="245" t="s">
        <v>824</v>
      </c>
      <c r="F7" s="245" t="s">
        <v>825</v>
      </c>
      <c r="I7" s="604">
        <f>SUM(J7:U7)</f>
        <v>11903.360527575111</v>
      </c>
      <c r="J7" s="603">
        <v>1327.5214354814095</v>
      </c>
      <c r="K7" s="603">
        <v>1327.5214354814095</v>
      </c>
      <c r="L7" s="603">
        <v>1045.0764969061061</v>
      </c>
      <c r="M7" s="603">
        <v>970.42817569852696</v>
      </c>
      <c r="N7" s="603">
        <v>970.42817569852696</v>
      </c>
      <c r="O7" s="603">
        <v>970.42817569852696</v>
      </c>
      <c r="P7" s="603">
        <v>970.42817569852696</v>
      </c>
      <c r="Q7" s="603">
        <v>970.42817569852696</v>
      </c>
      <c r="R7" s="603">
        <v>970.42817569852696</v>
      </c>
      <c r="S7" s="603">
        <v>970.42817569852696</v>
      </c>
      <c r="T7" s="603">
        <v>746.48321207578999</v>
      </c>
      <c r="U7" s="603">
        <v>663.76071774070476</v>
      </c>
      <c r="V7" s="628">
        <f>SUM(L7:T7)</f>
        <v>8584.5569388715849</v>
      </c>
      <c r="W7" s="628">
        <f>U7+J7+K7</f>
        <v>3318.8035887035239</v>
      </c>
      <c r="X7" s="245">
        <f>+W7+V7</f>
        <v>11903.360527575109</v>
      </c>
    </row>
    <row r="8" spans="1:28" x14ac:dyDescent="0.35">
      <c r="A8" s="312" t="s">
        <v>309</v>
      </c>
      <c r="B8" s="312" t="s">
        <v>307</v>
      </c>
      <c r="C8" s="312" t="s">
        <v>824</v>
      </c>
      <c r="D8" s="312" t="s">
        <v>825</v>
      </c>
      <c r="E8" s="245" t="s">
        <v>824</v>
      </c>
      <c r="F8" s="245" t="s">
        <v>825</v>
      </c>
      <c r="I8" s="604">
        <f>SUM(J8:U8)</f>
        <v>37253.24239446393</v>
      </c>
      <c r="J8" s="603">
        <v>5947.0161085744903</v>
      </c>
      <c r="K8" s="603">
        <v>5928.6974670959335</v>
      </c>
      <c r="L8" s="603">
        <v>3053.602191043015</v>
      </c>
      <c r="M8" s="603">
        <v>2744.1584264964295</v>
      </c>
      <c r="N8" s="603">
        <v>3034.3761599723416</v>
      </c>
      <c r="O8" s="603">
        <v>2744.1584264964295</v>
      </c>
      <c r="P8" s="603">
        <v>2788.5689693414979</v>
      </c>
      <c r="Q8" s="603">
        <v>2726.6007700227979</v>
      </c>
      <c r="R8" s="603">
        <v>2685.2886371436643</v>
      </c>
      <c r="S8" s="603">
        <v>2643.9765042645313</v>
      </c>
      <c r="T8" s="603">
        <v>1979.8045218230802</v>
      </c>
      <c r="U8" s="603">
        <v>976.99421218972202</v>
      </c>
      <c r="V8" s="605">
        <f>SUM(L8:T8)</f>
        <v>24400.534606603786</v>
      </c>
      <c r="W8" s="605">
        <f>U8+J8+K8</f>
        <v>12852.707787860145</v>
      </c>
      <c r="X8" s="245">
        <f>+V8+W8</f>
        <v>37253.24239446393</v>
      </c>
    </row>
    <row r="9" spans="1:28" x14ac:dyDescent="0.35">
      <c r="A9" s="312" t="s">
        <v>309</v>
      </c>
      <c r="B9" s="312" t="s">
        <v>307</v>
      </c>
      <c r="C9" s="312" t="s">
        <v>824</v>
      </c>
      <c r="D9" s="312" t="s">
        <v>825</v>
      </c>
      <c r="I9" s="604">
        <f>SUM(J9:U9)</f>
        <v>31396.278109054289</v>
      </c>
      <c r="J9" s="603">
        <v>4706.9167021998437</v>
      </c>
      <c r="K9" s="603">
        <v>4714.9880083482276</v>
      </c>
      <c r="L9" s="603">
        <v>2792.7200442317567</v>
      </c>
      <c r="M9" s="603">
        <v>2587.6025627221884</v>
      </c>
      <c r="N9" s="603">
        <v>2226.8039483121229</v>
      </c>
      <c r="O9" s="603">
        <v>2395.9282988168416</v>
      </c>
      <c r="P9" s="603">
        <v>2114.0543813089776</v>
      </c>
      <c r="Q9" s="603">
        <v>1775.8056802995411</v>
      </c>
      <c r="R9" s="603">
        <v>2818.7391750786373</v>
      </c>
      <c r="S9" s="603">
        <v>2818.7391750786373</v>
      </c>
      <c r="T9" s="603">
        <v>1667.8930030051101</v>
      </c>
      <c r="U9" s="603">
        <v>776.08712965240227</v>
      </c>
      <c r="V9" s="605">
        <f>SUM(L9:T9)</f>
        <v>21198.286268853812</v>
      </c>
      <c r="W9" s="605">
        <f>U9+J9+K9</f>
        <v>10197.991840200473</v>
      </c>
      <c r="X9" s="245">
        <f>+V9+W9</f>
        <v>31396.278109054285</v>
      </c>
    </row>
    <row r="10" spans="1:28" x14ac:dyDescent="0.35">
      <c r="A10" s="247" t="s">
        <v>1484</v>
      </c>
      <c r="I10" s="601">
        <f>SUM(I11:I12)</f>
        <v>1342967086.4814973</v>
      </c>
      <c r="J10" s="602"/>
      <c r="K10" s="602">
        <v>252626481.07850266</v>
      </c>
      <c r="L10" s="602"/>
      <c r="M10" s="602"/>
      <c r="N10" s="602"/>
      <c r="O10" s="602"/>
      <c r="P10" s="602"/>
      <c r="Q10" s="602"/>
      <c r="R10" s="602"/>
      <c r="S10" s="602"/>
      <c r="T10" s="602"/>
      <c r="U10" s="602"/>
      <c r="V10" s="838">
        <f>V9+V8+V7</f>
        <v>54183.377814329186</v>
      </c>
      <c r="W10" s="838">
        <f>W9+W8+W7</f>
        <v>26369.50321676414</v>
      </c>
      <c r="X10" s="245">
        <f>+X9+X8</f>
        <v>68649.520503518215</v>
      </c>
    </row>
    <row r="11" spans="1:28" x14ac:dyDescent="0.35">
      <c r="A11" s="312" t="s">
        <v>305</v>
      </c>
      <c r="B11" s="312" t="s">
        <v>252</v>
      </c>
      <c r="C11" s="312" t="s">
        <v>1042</v>
      </c>
      <c r="D11" s="312" t="s">
        <v>1045</v>
      </c>
      <c r="E11" s="245" t="s">
        <v>1042</v>
      </c>
      <c r="F11" s="245" t="s">
        <v>1045</v>
      </c>
      <c r="I11" s="604">
        <f>SUM(J11:U11)</f>
        <v>1013236182.9600699</v>
      </c>
      <c r="J11" s="603">
        <v>105850435.73488587</v>
      </c>
      <c r="K11" s="603">
        <v>103647950.55225754</v>
      </c>
      <c r="L11" s="603">
        <v>96653825.073311239</v>
      </c>
      <c r="M11" s="603">
        <v>97230384.523704112</v>
      </c>
      <c r="N11" s="603">
        <v>97537371.495292395</v>
      </c>
      <c r="O11" s="603">
        <v>95295420.224947378</v>
      </c>
      <c r="P11" s="603">
        <v>91065466.352490932</v>
      </c>
      <c r="Q11" s="603">
        <v>43816137.449719109</v>
      </c>
      <c r="R11" s="603">
        <v>43957588.381898247</v>
      </c>
      <c r="S11" s="603">
        <v>42792896.541620985</v>
      </c>
      <c r="T11" s="603">
        <v>98661509.355769664</v>
      </c>
      <c r="U11" s="603">
        <v>96727197.274172515</v>
      </c>
      <c r="V11" s="605">
        <f>SUM(L11:T11)</f>
        <v>707010599.398754</v>
      </c>
      <c r="W11" s="605">
        <f>U11+J11+K11</f>
        <v>306225583.56131589</v>
      </c>
    </row>
    <row r="12" spans="1:28" x14ac:dyDescent="0.35">
      <c r="A12" s="312" t="s">
        <v>305</v>
      </c>
      <c r="B12" s="312" t="s">
        <v>252</v>
      </c>
      <c r="C12" s="312" t="s">
        <v>1042</v>
      </c>
      <c r="D12" s="312" t="s">
        <v>1045</v>
      </c>
      <c r="E12" s="245" t="s">
        <v>1042</v>
      </c>
      <c r="F12" s="245" t="s">
        <v>1045</v>
      </c>
      <c r="I12" s="604">
        <f>SUM(J12:U12)</f>
        <v>329730903.52142745</v>
      </c>
      <c r="J12" s="603">
        <v>30373714.394044004</v>
      </c>
      <c r="K12" s="603">
        <v>29923563.705192767</v>
      </c>
      <c r="L12" s="603">
        <v>23433076.827597417</v>
      </c>
      <c r="M12" s="603">
        <v>22557308.175876498</v>
      </c>
      <c r="N12" s="603">
        <v>22594435.861472942</v>
      </c>
      <c r="O12" s="603">
        <v>22345652.176898234</v>
      </c>
      <c r="P12" s="603">
        <v>21155972.635047853</v>
      </c>
      <c r="Q12" s="603">
        <v>19964601.995372251</v>
      </c>
      <c r="R12" s="603">
        <v>22462168.103488088</v>
      </c>
      <c r="S12" s="603">
        <v>24092542.110774409</v>
      </c>
      <c r="T12" s="603">
        <v>27809924.901595652</v>
      </c>
      <c r="U12" s="603">
        <v>63017942.634067371</v>
      </c>
      <c r="V12" s="605">
        <f>SUM(L12:T12)</f>
        <v>206415682.78812331</v>
      </c>
      <c r="W12" s="605">
        <f>U12+J12+K12</f>
        <v>123315220.73330414</v>
      </c>
    </row>
    <row r="13" spans="1:28" x14ac:dyDescent="0.35">
      <c r="A13" s="247" t="s">
        <v>1483</v>
      </c>
      <c r="I13" s="601">
        <f>SUM(I14:I15)</f>
        <v>18979552.184231371</v>
      </c>
      <c r="J13" s="603"/>
      <c r="K13" s="603"/>
      <c r="L13" s="603"/>
      <c r="M13" s="638"/>
      <c r="N13" s="638"/>
      <c r="O13" s="638"/>
      <c r="P13" s="603"/>
      <c r="Q13" s="603"/>
      <c r="R13" s="603"/>
      <c r="S13" s="603"/>
      <c r="T13" s="603"/>
      <c r="U13" s="603"/>
      <c r="V13" s="603">
        <f>+V12+V11</f>
        <v>913426282.18687725</v>
      </c>
      <c r="W13" s="603">
        <f>+W12+W11</f>
        <v>429540804.29462004</v>
      </c>
    </row>
    <row r="14" spans="1:28" x14ac:dyDescent="0.35">
      <c r="A14" s="312" t="s">
        <v>305</v>
      </c>
      <c r="B14" s="312" t="s">
        <v>252</v>
      </c>
      <c r="C14" s="312" t="s">
        <v>1042</v>
      </c>
      <c r="D14" s="312" t="s">
        <v>1045</v>
      </c>
      <c r="I14" s="604">
        <f>SUM(J14:U14)</f>
        <v>4716531.7448888673</v>
      </c>
      <c r="J14" s="603">
        <v>509947.32541358005</v>
      </c>
      <c r="K14" s="603">
        <v>509947.32541358005</v>
      </c>
      <c r="L14" s="603">
        <v>377237.00217383518</v>
      </c>
      <c r="M14" s="603">
        <v>377237.00217383518</v>
      </c>
      <c r="N14" s="603">
        <v>377237.00217383518</v>
      </c>
      <c r="O14" s="603">
        <v>362340.77049781394</v>
      </c>
      <c r="P14" s="603">
        <v>362340.77049781394</v>
      </c>
      <c r="Q14" s="603">
        <v>358314.7619367271</v>
      </c>
      <c r="R14" s="603">
        <v>358314.7619367271</v>
      </c>
      <c r="S14" s="603">
        <v>358314.7619367271</v>
      </c>
      <c r="T14" s="603">
        <v>342210.72769237973</v>
      </c>
      <c r="U14" s="603">
        <v>423089.53304201365</v>
      </c>
      <c r="V14" s="605">
        <f>SUM(L14:T14)</f>
        <v>3273547.561019694</v>
      </c>
      <c r="W14" s="605">
        <f>U14+J14+K14</f>
        <v>1442984.1838691738</v>
      </c>
    </row>
    <row r="15" spans="1:28" x14ac:dyDescent="0.35">
      <c r="A15" s="312" t="s">
        <v>305</v>
      </c>
      <c r="B15" s="312" t="s">
        <v>252</v>
      </c>
      <c r="C15" s="312" t="s">
        <v>1042</v>
      </c>
      <c r="D15" s="312" t="s">
        <v>1045</v>
      </c>
      <c r="I15" s="604">
        <f>SUM(J15:U15)</f>
        <v>14263020.439342503</v>
      </c>
      <c r="J15" s="603">
        <v>1608702.543067432</v>
      </c>
      <c r="K15" s="603">
        <v>880897.22770384769</v>
      </c>
      <c r="L15" s="603">
        <v>1671204.6135814097</v>
      </c>
      <c r="M15" s="603">
        <v>1657939.5047349632</v>
      </c>
      <c r="N15" s="603">
        <v>1301685.46987106</v>
      </c>
      <c r="O15" s="603">
        <v>1389698.1168400543</v>
      </c>
      <c r="P15" s="603">
        <v>1580662.2329221875</v>
      </c>
      <c r="Q15" s="603">
        <v>683730.36854873411</v>
      </c>
      <c r="R15" s="603">
        <v>864736.24377053138</v>
      </c>
      <c r="S15" s="603">
        <v>851190.94319562078</v>
      </c>
      <c r="T15" s="603">
        <v>583182.070078508</v>
      </c>
      <c r="U15" s="603">
        <v>1189391.1050281525</v>
      </c>
      <c r="V15" s="605">
        <f>SUM(L15:T15)</f>
        <v>10584029.56354307</v>
      </c>
      <c r="W15" s="605">
        <f>U15+J15+K15</f>
        <v>3678990.8757994324</v>
      </c>
    </row>
    <row r="16" spans="1:28" x14ac:dyDescent="0.35">
      <c r="A16" s="247" t="s">
        <v>537</v>
      </c>
      <c r="I16" s="601">
        <f>SUM(I17:I20)</f>
        <v>387173.46218316216</v>
      </c>
      <c r="J16" s="602"/>
      <c r="K16" s="602"/>
      <c r="L16" s="602"/>
      <c r="M16" s="602"/>
      <c r="N16" s="602"/>
      <c r="O16" s="602"/>
      <c r="P16" s="602"/>
      <c r="Q16" s="602"/>
      <c r="R16" s="602"/>
      <c r="S16" s="602"/>
      <c r="T16" s="602"/>
      <c r="U16" s="602"/>
      <c r="V16" s="603">
        <f>+V15+V14</f>
        <v>13857577.124562765</v>
      </c>
      <c r="W16" s="603">
        <f>+W15+W14</f>
        <v>5121975.0596686061</v>
      </c>
    </row>
    <row r="17" spans="1:26" x14ac:dyDescent="0.35">
      <c r="A17" s="311" t="s">
        <v>371</v>
      </c>
      <c r="B17" s="311" t="s">
        <v>371</v>
      </c>
      <c r="C17" s="311" t="s">
        <v>838</v>
      </c>
      <c r="D17" s="311" t="s">
        <v>838</v>
      </c>
      <c r="E17" s="245" t="s">
        <v>839</v>
      </c>
      <c r="F17" s="245" t="s">
        <v>839</v>
      </c>
      <c r="I17" s="604">
        <f>SUM(J17:U17)</f>
        <v>102539.61125749383</v>
      </c>
      <c r="J17" s="603">
        <v>8544.9676047911544</v>
      </c>
      <c r="K17" s="603">
        <v>8544.9676047911544</v>
      </c>
      <c r="L17" s="603">
        <v>8544.9676047911544</v>
      </c>
      <c r="M17" s="603">
        <v>8544.9676047911544</v>
      </c>
      <c r="N17" s="603">
        <v>8544.9676047911544</v>
      </c>
      <c r="O17" s="603">
        <v>8544.9676047911544</v>
      </c>
      <c r="P17" s="603">
        <v>8544.9676047911544</v>
      </c>
      <c r="Q17" s="603">
        <v>8544.9676047911544</v>
      </c>
      <c r="R17" s="603">
        <v>8544.9676047911544</v>
      </c>
      <c r="S17" s="603">
        <v>8544.9676047911544</v>
      </c>
      <c r="T17" s="603">
        <v>8544.9676047911544</v>
      </c>
      <c r="U17" s="603">
        <v>8544.9676047911544</v>
      </c>
      <c r="V17" s="605">
        <f>SUM(L17:T17)</f>
        <v>76904.708443120384</v>
      </c>
      <c r="W17" s="605">
        <f>U17+J17+K17</f>
        <v>25634.902814373461</v>
      </c>
      <c r="X17" s="245">
        <f>+V21+W21</f>
        <v>387173.46218316222</v>
      </c>
    </row>
    <row r="18" spans="1:26" x14ac:dyDescent="0.35">
      <c r="A18" s="311" t="s">
        <v>381</v>
      </c>
      <c r="B18" s="311" t="s">
        <v>375</v>
      </c>
      <c r="C18" s="311" t="s">
        <v>834</v>
      </c>
      <c r="D18" s="311" t="s">
        <v>836</v>
      </c>
      <c r="E18" s="245" t="s">
        <v>827</v>
      </c>
      <c r="F18" s="245" t="s">
        <v>830</v>
      </c>
      <c r="I18" s="604">
        <f>SUM(J18:U18)</f>
        <v>73149.110097033874</v>
      </c>
      <c r="J18" s="603">
        <v>8125.7034503086588</v>
      </c>
      <c r="K18" s="603">
        <v>3991.6819736170619</v>
      </c>
      <c r="L18" s="603">
        <v>1769.4786157514191</v>
      </c>
      <c r="M18" s="603">
        <v>1558.0355031832894</v>
      </c>
      <c r="N18" s="603">
        <v>1712.6253317074202</v>
      </c>
      <c r="O18" s="603">
        <v>1246.7797430660044</v>
      </c>
      <c r="P18" s="603">
        <v>1380.2891404277543</v>
      </c>
      <c r="Q18" s="603">
        <v>5259.4611081901385</v>
      </c>
      <c r="R18" s="603">
        <v>5869.8354104827304</v>
      </c>
      <c r="S18" s="603">
        <v>5896.1327160236815</v>
      </c>
      <c r="T18" s="603">
        <v>6833.1472345091343</v>
      </c>
      <c r="U18" s="603">
        <v>29505.939869766597</v>
      </c>
      <c r="V18" s="605">
        <f>SUM(L18:T18)</f>
        <v>31525.784803341576</v>
      </c>
      <c r="W18" s="605">
        <f>U18+J18+K18</f>
        <v>41623.325293692324</v>
      </c>
    </row>
    <row r="19" spans="1:26" x14ac:dyDescent="0.35">
      <c r="A19" s="311" t="s">
        <v>383</v>
      </c>
      <c r="B19" s="311" t="s">
        <v>377</v>
      </c>
      <c r="C19" s="311" t="s">
        <v>832</v>
      </c>
      <c r="D19" s="311" t="s">
        <v>835</v>
      </c>
      <c r="E19" s="245" t="s">
        <v>826</v>
      </c>
      <c r="F19" s="245" t="s">
        <v>829</v>
      </c>
      <c r="I19" s="604">
        <f>SUM(J19:U19)</f>
        <v>95496.590959371388</v>
      </c>
      <c r="J19" s="603">
        <v>7574.8849139364575</v>
      </c>
      <c r="K19" s="603">
        <v>3864.0674825605688</v>
      </c>
      <c r="L19" s="603">
        <v>2748.9146325972874</v>
      </c>
      <c r="M19" s="603">
        <v>2599.1916133926425</v>
      </c>
      <c r="N19" s="603">
        <v>2755.2628886115644</v>
      </c>
      <c r="O19" s="603">
        <v>1940.1707720614754</v>
      </c>
      <c r="P19" s="603">
        <v>2085.7015467283904</v>
      </c>
      <c r="Q19" s="603">
        <v>9602.2362983245839</v>
      </c>
      <c r="R19" s="603">
        <v>10276.988038206853</v>
      </c>
      <c r="S19" s="603">
        <v>9676.4589897116348</v>
      </c>
      <c r="T19" s="603">
        <v>12675.98999338827</v>
      </c>
      <c r="U19" s="603">
        <v>29696.723789851661</v>
      </c>
      <c r="V19" s="605">
        <f>SUM(L19:T19)</f>
        <v>54360.914773022698</v>
      </c>
      <c r="W19" s="605">
        <f>U19+J19+K19</f>
        <v>41135.67618634869</v>
      </c>
    </row>
    <row r="20" spans="1:26" x14ac:dyDescent="0.35">
      <c r="A20" s="311" t="s">
        <v>379</v>
      </c>
      <c r="B20" s="311" t="s">
        <v>373</v>
      </c>
      <c r="C20" s="311" t="s">
        <v>833</v>
      </c>
      <c r="D20" s="311" t="s">
        <v>837</v>
      </c>
      <c r="E20" s="245" t="s">
        <v>828</v>
      </c>
      <c r="F20" s="245" t="s">
        <v>831</v>
      </c>
      <c r="I20" s="604">
        <f>SUM(J20:U20)</f>
        <v>115988.14986926311</v>
      </c>
      <c r="J20" s="603">
        <v>10533.697514953041</v>
      </c>
      <c r="K20" s="603">
        <v>6554.3664614837144</v>
      </c>
      <c r="L20" s="603">
        <v>3138.6477933787291</v>
      </c>
      <c r="M20" s="603">
        <v>3090.7325930804418</v>
      </c>
      <c r="N20" s="603">
        <v>3180.6999522903056</v>
      </c>
      <c r="O20" s="603">
        <v>2936.6761262986074</v>
      </c>
      <c r="P20" s="603">
        <v>2857.7272414189401</v>
      </c>
      <c r="Q20" s="603">
        <v>11897.256625400301</v>
      </c>
      <c r="R20" s="603">
        <v>12309.017348076157</v>
      </c>
      <c r="S20" s="603">
        <v>11854.766423166726</v>
      </c>
      <c r="T20" s="603">
        <v>13619.642967486971</v>
      </c>
      <c r="U20" s="603">
        <v>34014.918822229178</v>
      </c>
      <c r="V20" s="605">
        <f>SUM(L20:T20)</f>
        <v>64885.167070597177</v>
      </c>
      <c r="W20" s="605">
        <f>U20+J20+K20</f>
        <v>51102.982798665937</v>
      </c>
    </row>
    <row r="21" spans="1:26" x14ac:dyDescent="0.35">
      <c r="A21" s="247" t="s">
        <v>536</v>
      </c>
      <c r="B21" s="247"/>
      <c r="C21" s="247"/>
      <c r="D21" s="247"/>
      <c r="E21" s="247"/>
      <c r="F21" s="247"/>
      <c r="G21" s="247"/>
      <c r="H21" s="247"/>
      <c r="I21" s="601">
        <f>SUM(I22:I25)</f>
        <v>31857033.433132116</v>
      </c>
      <c r="J21" s="607"/>
      <c r="K21" s="607"/>
      <c r="L21" s="607"/>
      <c r="M21" s="607"/>
      <c r="N21" s="607"/>
      <c r="O21" s="607"/>
      <c r="P21" s="607"/>
      <c r="Q21" s="607"/>
      <c r="R21" s="607"/>
      <c r="S21" s="607"/>
      <c r="T21" s="607"/>
      <c r="U21" s="607"/>
      <c r="V21" s="603">
        <f>+V20+V19+V18+V17</f>
        <v>227676.57509008184</v>
      </c>
      <c r="W21" s="603">
        <f>+W20+W19+W18+W17</f>
        <v>159496.88709308041</v>
      </c>
    </row>
    <row r="22" spans="1:26" x14ac:dyDescent="0.35">
      <c r="A22" s="312" t="s">
        <v>368</v>
      </c>
      <c r="B22" s="312" t="s">
        <v>368</v>
      </c>
      <c r="C22" s="312" t="s">
        <v>839</v>
      </c>
      <c r="D22" s="312" t="s">
        <v>839</v>
      </c>
      <c r="F22" s="245" t="s">
        <v>838</v>
      </c>
      <c r="I22" s="604">
        <f>SUM(J22:U22)</f>
        <v>1551653.7757195185</v>
      </c>
      <c r="J22" s="603">
        <v>129304.48130995984</v>
      </c>
      <c r="K22" s="603">
        <v>129304.48130995984</v>
      </c>
      <c r="L22" s="603">
        <v>129304.48130995984</v>
      </c>
      <c r="M22" s="603">
        <v>129304.48130995984</v>
      </c>
      <c r="N22" s="603">
        <v>129304.48130995984</v>
      </c>
      <c r="O22" s="603">
        <v>129304.48130995984</v>
      </c>
      <c r="P22" s="603">
        <v>129304.48130995984</v>
      </c>
      <c r="Q22" s="603">
        <v>129304.48130995984</v>
      </c>
      <c r="R22" s="603">
        <v>129304.48130995984</v>
      </c>
      <c r="S22" s="603">
        <v>129304.48130995984</v>
      </c>
      <c r="T22" s="603">
        <v>129304.48130995984</v>
      </c>
      <c r="U22" s="603">
        <v>129304.48130995984</v>
      </c>
      <c r="V22" s="605">
        <f>SUM(L22:T22)</f>
        <v>1163740.3317896388</v>
      </c>
      <c r="W22" s="605">
        <f>U22+J22+K22</f>
        <v>387913.44392987952</v>
      </c>
    </row>
    <row r="23" spans="1:26" x14ac:dyDescent="0.35">
      <c r="A23" s="312" t="s">
        <v>364</v>
      </c>
      <c r="B23" s="312" t="s">
        <v>358</v>
      </c>
      <c r="C23" s="312" t="s">
        <v>827</v>
      </c>
      <c r="D23" s="312" t="s">
        <v>830</v>
      </c>
      <c r="F23" s="245" t="s">
        <v>836</v>
      </c>
      <c r="I23" s="604">
        <f>SUM(J23:U23)</f>
        <v>8266177.9699999765</v>
      </c>
      <c r="J23" s="603">
        <v>1333887.304591937</v>
      </c>
      <c r="K23" s="603">
        <v>1315567.4655185423</v>
      </c>
      <c r="L23" s="603">
        <v>608786.45607867453</v>
      </c>
      <c r="M23" s="603">
        <v>516477.00472120265</v>
      </c>
      <c r="N23" s="603">
        <v>490357.6584766556</v>
      </c>
      <c r="O23" s="603">
        <v>380615.96814978286</v>
      </c>
      <c r="P23" s="603">
        <v>404355.03560898965</v>
      </c>
      <c r="Q23" s="603">
        <v>429971.11317624082</v>
      </c>
      <c r="R23" s="603">
        <v>452036.84156181564</v>
      </c>
      <c r="S23" s="603">
        <v>463388.86667640618</v>
      </c>
      <c r="T23" s="603">
        <v>576488.60048401053</v>
      </c>
      <c r="U23" s="603">
        <v>1294245.6549557182</v>
      </c>
      <c r="V23" s="605">
        <f>SUM(L23:T23)</f>
        <v>4322477.5449337782</v>
      </c>
      <c r="W23" s="605">
        <f>U23+J23+K23</f>
        <v>3943700.4250661973</v>
      </c>
    </row>
    <row r="24" spans="1:26" x14ac:dyDescent="0.35">
      <c r="A24" s="312" t="s">
        <v>366</v>
      </c>
      <c r="B24" s="312" t="s">
        <v>360</v>
      </c>
      <c r="C24" s="312" t="s">
        <v>826</v>
      </c>
      <c r="D24" s="312" t="s">
        <v>829</v>
      </c>
      <c r="F24" s="245" t="s">
        <v>835</v>
      </c>
      <c r="I24" s="604">
        <f>SUM(J24:U24)</f>
        <v>11483731.29416495</v>
      </c>
      <c r="J24" s="603">
        <v>1549275.707542808</v>
      </c>
      <c r="K24" s="603">
        <v>1499484.0169059744</v>
      </c>
      <c r="L24" s="603">
        <v>949366.85437468358</v>
      </c>
      <c r="M24" s="603">
        <v>846818.76369173022</v>
      </c>
      <c r="N24" s="603">
        <v>811675.55703025416</v>
      </c>
      <c r="O24" s="603">
        <v>648837.85938595096</v>
      </c>
      <c r="P24" s="603">
        <v>696516.75559028587</v>
      </c>
      <c r="Q24" s="603">
        <v>665703.97783173143</v>
      </c>
      <c r="R24" s="603">
        <v>704120.28939757461</v>
      </c>
      <c r="S24" s="603">
        <v>707047.99327817152</v>
      </c>
      <c r="T24" s="603">
        <v>836840.20357540203</v>
      </c>
      <c r="U24" s="603">
        <v>1568043.3155603833</v>
      </c>
      <c r="V24" s="605">
        <f>SUM(L24:T24)</f>
        <v>6866928.2541557848</v>
      </c>
      <c r="W24" s="605">
        <f>U24+J24+K24</f>
        <v>4616803.0400091661</v>
      </c>
      <c r="Z24" s="245">
        <f>3578510707.1-'MSCOA - Tariff Structure'!Q6</f>
        <v>272273904.16000032</v>
      </c>
    </row>
    <row r="25" spans="1:26" x14ac:dyDescent="0.35">
      <c r="A25" s="312" t="s">
        <v>362</v>
      </c>
      <c r="B25" s="312" t="s">
        <v>356</v>
      </c>
      <c r="C25" s="312" t="s">
        <v>828</v>
      </c>
      <c r="D25" s="312" t="s">
        <v>831</v>
      </c>
      <c r="F25" s="245" t="s">
        <v>837</v>
      </c>
      <c r="I25" s="604">
        <f>SUM(J25:U25)</f>
        <v>10555470.393247671</v>
      </c>
      <c r="J25" s="603">
        <v>1380090.2554900746</v>
      </c>
      <c r="K25" s="603">
        <v>1452796.6640652253</v>
      </c>
      <c r="L25" s="603">
        <v>758464.71692927554</v>
      </c>
      <c r="M25" s="603">
        <v>766095.3305115184</v>
      </c>
      <c r="N25" s="603">
        <v>680610.24959397432</v>
      </c>
      <c r="O25" s="603">
        <v>662893.01460997993</v>
      </c>
      <c r="P25" s="603">
        <v>687198.45485242817</v>
      </c>
      <c r="Q25" s="603">
        <v>709483.2349461508</v>
      </c>
      <c r="R25" s="603">
        <v>686649.75504816847</v>
      </c>
      <c r="S25" s="603">
        <v>702637.10641014192</v>
      </c>
      <c r="T25" s="603">
        <v>749072.95017094968</v>
      </c>
      <c r="U25" s="603">
        <v>1319478.6606197846</v>
      </c>
      <c r="V25" s="605">
        <f>SUM(L25:T25)</f>
        <v>6403104.8130725883</v>
      </c>
      <c r="W25" s="605">
        <f>U25+J25+K25</f>
        <v>4152365.5801750841</v>
      </c>
      <c r="Z25" s="245">
        <f>Z24/2</f>
        <v>136136952.08000016</v>
      </c>
    </row>
    <row r="26" spans="1:26" x14ac:dyDescent="0.35">
      <c r="A26" s="247" t="s">
        <v>545</v>
      </c>
      <c r="I26" s="601">
        <f>+I27</f>
        <v>139336052.69403189</v>
      </c>
      <c r="J26" s="602"/>
      <c r="K26" s="602"/>
      <c r="L26" s="602"/>
      <c r="M26" s="602"/>
      <c r="N26" s="602"/>
      <c r="O26" s="602"/>
      <c r="P26" s="602"/>
      <c r="Q26" s="602"/>
      <c r="R26" s="602"/>
      <c r="S26" s="602"/>
      <c r="T26" s="602"/>
      <c r="U26" s="602"/>
      <c r="V26" s="603">
        <f>+V25+V24+V23+V22</f>
        <v>18756250.943951789</v>
      </c>
      <c r="W26" s="603">
        <f>+W25+W24+W23+W22</f>
        <v>13100782.489180326</v>
      </c>
      <c r="X26" s="245">
        <f>+V26+W26</f>
        <v>31857033.433132116</v>
      </c>
    </row>
    <row r="27" spans="1:26" x14ac:dyDescent="0.35">
      <c r="A27" s="309" t="s">
        <v>313</v>
      </c>
      <c r="B27" s="309" t="s">
        <v>311</v>
      </c>
      <c r="C27" s="309" t="s">
        <v>510</v>
      </c>
      <c r="D27" s="309" t="s">
        <v>514</v>
      </c>
      <c r="E27" s="245" t="s">
        <v>510</v>
      </c>
      <c r="F27" s="245" t="s">
        <v>514</v>
      </c>
      <c r="I27" s="604">
        <f>SUM(J27:U27)</f>
        <v>139336052.69403189</v>
      </c>
      <c r="J27" s="603">
        <v>11910781.507260391</v>
      </c>
      <c r="K27" s="603">
        <v>11654223.242445398</v>
      </c>
      <c r="L27" s="603">
        <v>10768474.632375091</v>
      </c>
      <c r="M27" s="603">
        <v>11462173.095656965</v>
      </c>
      <c r="N27" s="603">
        <v>11195964.388814997</v>
      </c>
      <c r="O27" s="603">
        <v>12133855.578107271</v>
      </c>
      <c r="P27" s="603">
        <v>10429952.415699217</v>
      </c>
      <c r="Q27" s="603">
        <v>11135590.891074326</v>
      </c>
      <c r="R27" s="603">
        <v>11114833.979625797</v>
      </c>
      <c r="S27" s="603">
        <v>11544823.907304749</v>
      </c>
      <c r="T27" s="603">
        <v>12537617.84920154</v>
      </c>
      <c r="U27" s="603">
        <v>13447761.206466138</v>
      </c>
      <c r="V27" s="609">
        <f>SUM(L27:T27)</f>
        <v>102323286.73785995</v>
      </c>
      <c r="W27" s="609">
        <f>U27+J27+K27</f>
        <v>37012765.95617193</v>
      </c>
    </row>
    <row r="28" spans="1:26" x14ac:dyDescent="0.35">
      <c r="A28" s="247" t="s">
        <v>546</v>
      </c>
      <c r="I28" s="601">
        <f>+I29</f>
        <v>43316583.712753795</v>
      </c>
      <c r="J28" s="602"/>
      <c r="K28" s="602"/>
      <c r="L28" s="602"/>
      <c r="M28" s="602"/>
      <c r="N28" s="602"/>
      <c r="O28" s="602"/>
      <c r="P28" s="602"/>
      <c r="Q28" s="602"/>
      <c r="R28" s="602"/>
      <c r="S28" s="602"/>
      <c r="T28" s="602"/>
      <c r="U28" s="602"/>
      <c r="V28" s="603">
        <f>+V27</f>
        <v>102323286.73785995</v>
      </c>
      <c r="W28" s="603">
        <f>+W27</f>
        <v>37012765.95617193</v>
      </c>
      <c r="X28" s="245">
        <f>+W28+V28</f>
        <v>139336052.69403189</v>
      </c>
    </row>
    <row r="29" spans="1:26" x14ac:dyDescent="0.35">
      <c r="A29" s="309" t="s">
        <v>313</v>
      </c>
      <c r="B29" s="309" t="s">
        <v>311</v>
      </c>
      <c r="C29" s="309" t="s">
        <v>510</v>
      </c>
      <c r="D29" s="309" t="s">
        <v>514</v>
      </c>
      <c r="E29" s="245" t="s">
        <v>510</v>
      </c>
      <c r="F29" s="245" t="s">
        <v>514</v>
      </c>
      <c r="I29" s="604">
        <f>SUM(J29:U29)</f>
        <v>43316583.712753795</v>
      </c>
      <c r="J29" s="603">
        <v>5439435.9966143258</v>
      </c>
      <c r="K29" s="603">
        <v>7337067.1172642969</v>
      </c>
      <c r="L29" s="603">
        <v>4705254.5895155761</v>
      </c>
      <c r="M29" s="603">
        <v>3513786.9228523113</v>
      </c>
      <c r="N29" s="603">
        <v>3744304.3315451611</v>
      </c>
      <c r="O29" s="603">
        <v>2883384.9319201242</v>
      </c>
      <c r="P29" s="603">
        <v>2809866.5503568295</v>
      </c>
      <c r="Q29" s="603">
        <v>2108768.9640871231</v>
      </c>
      <c r="R29" s="603">
        <v>1618889.6142220453</v>
      </c>
      <c r="S29" s="603">
        <v>1019711.9816949677</v>
      </c>
      <c r="T29" s="603">
        <v>667869.04964429757</v>
      </c>
      <c r="U29" s="603">
        <v>7468243.6630367432</v>
      </c>
      <c r="V29" s="609">
        <f>SUM(L29:T29)</f>
        <v>23071836.935838435</v>
      </c>
      <c r="W29" s="609">
        <f>U29+J29+K29</f>
        <v>20244746.776915364</v>
      </c>
    </row>
    <row r="30" spans="1:26" x14ac:dyDescent="0.35">
      <c r="A30" s="247" t="s">
        <v>539</v>
      </c>
      <c r="I30" s="601">
        <f>SUM(I31:I34)</f>
        <v>435996.85653252882</v>
      </c>
      <c r="J30" s="602"/>
      <c r="K30" s="602"/>
      <c r="L30" s="602"/>
      <c r="M30" s="602"/>
      <c r="N30" s="602"/>
      <c r="O30" s="602"/>
      <c r="P30" s="602"/>
      <c r="Q30" s="602"/>
      <c r="R30" s="602"/>
      <c r="S30" s="602"/>
      <c r="T30" s="602"/>
      <c r="U30" s="602"/>
      <c r="V30" s="603">
        <f>+V29</f>
        <v>23071836.935838435</v>
      </c>
      <c r="W30" s="603">
        <f>+W29</f>
        <v>20244746.776915364</v>
      </c>
      <c r="X30" s="245">
        <f>+W30+V30</f>
        <v>43316583.712753803</v>
      </c>
    </row>
    <row r="31" spans="1:26" x14ac:dyDescent="0.35">
      <c r="A31" s="311" t="s">
        <v>401</v>
      </c>
      <c r="B31" s="311" t="s">
        <v>401</v>
      </c>
      <c r="C31" s="311" t="s">
        <v>875</v>
      </c>
      <c r="D31" s="311" t="s">
        <v>875</v>
      </c>
      <c r="E31" s="245" t="s">
        <v>876</v>
      </c>
      <c r="F31" s="245" t="s">
        <v>876</v>
      </c>
      <c r="I31" s="604">
        <f>SUM(J31:U31)</f>
        <v>171334.92072862189</v>
      </c>
      <c r="J31" s="603">
        <v>14277.91006071849</v>
      </c>
      <c r="K31" s="603">
        <v>14277.91006071849</v>
      </c>
      <c r="L31" s="603">
        <v>14277.91006071849</v>
      </c>
      <c r="M31" s="603">
        <v>14277.91006071849</v>
      </c>
      <c r="N31" s="603">
        <v>14277.91006071849</v>
      </c>
      <c r="O31" s="603">
        <v>14277.91006071849</v>
      </c>
      <c r="P31" s="603">
        <v>14277.91006071849</v>
      </c>
      <c r="Q31" s="603">
        <v>14277.91006071849</v>
      </c>
      <c r="R31" s="603">
        <v>14277.91006071849</v>
      </c>
      <c r="S31" s="603">
        <v>14277.91006071849</v>
      </c>
      <c r="T31" s="603">
        <v>14277.91006071849</v>
      </c>
      <c r="U31" s="603">
        <v>14277.91006071849</v>
      </c>
      <c r="V31" s="605">
        <f>SUM(L31:T31)</f>
        <v>128501.19054646643</v>
      </c>
      <c r="W31" s="605">
        <f>U31+J31+K31</f>
        <v>42833.730182155472</v>
      </c>
    </row>
    <row r="32" spans="1:26" x14ac:dyDescent="0.35">
      <c r="A32" s="311" t="s">
        <v>403</v>
      </c>
      <c r="B32" s="311" t="s">
        <v>411</v>
      </c>
      <c r="C32" s="311" t="s">
        <v>871</v>
      </c>
      <c r="D32" s="311" t="s">
        <v>874</v>
      </c>
      <c r="E32" s="245" t="s">
        <v>864</v>
      </c>
      <c r="F32" s="245" t="s">
        <v>867</v>
      </c>
      <c r="I32" s="604">
        <f>SUM(J32:U32)</f>
        <v>69989.317185229884</v>
      </c>
      <c r="J32" s="603">
        <v>6877.2422939453363</v>
      </c>
      <c r="K32" s="603">
        <v>6874.5710015413943</v>
      </c>
      <c r="L32" s="603">
        <v>9532.5059237672012</v>
      </c>
      <c r="M32" s="603">
        <v>5744.4657790748743</v>
      </c>
      <c r="N32" s="603">
        <v>5317.3143508402691</v>
      </c>
      <c r="O32" s="603">
        <v>4889.7123409303103</v>
      </c>
      <c r="P32" s="603">
        <v>4582.415638339593</v>
      </c>
      <c r="Q32" s="603">
        <v>4359.3777090398789</v>
      </c>
      <c r="R32" s="603">
        <v>4324.2323383623479</v>
      </c>
      <c r="S32" s="603">
        <v>4522.4882755176495</v>
      </c>
      <c r="T32" s="603">
        <v>5391.2097455981557</v>
      </c>
      <c r="U32" s="603">
        <v>7573.7817882728741</v>
      </c>
      <c r="V32" s="605">
        <f>SUM(L32:T32)</f>
        <v>48663.722101470281</v>
      </c>
      <c r="W32" s="605">
        <f>U32+J32+K32</f>
        <v>21325.595083759603</v>
      </c>
    </row>
    <row r="33" spans="1:24" x14ac:dyDescent="0.35">
      <c r="A33" s="311" t="s">
        <v>405</v>
      </c>
      <c r="B33" s="311" t="s">
        <v>413</v>
      </c>
      <c r="C33" s="311" t="s">
        <v>870</v>
      </c>
      <c r="D33" s="311" t="s">
        <v>873</v>
      </c>
      <c r="E33" s="245" t="s">
        <v>863</v>
      </c>
      <c r="F33" s="245" t="s">
        <v>866</v>
      </c>
      <c r="I33" s="604">
        <f>SUM(J33:U33)</f>
        <v>99861.586274892077</v>
      </c>
      <c r="J33" s="603">
        <v>10233.448199284116</v>
      </c>
      <c r="K33" s="603">
        <v>10842.693828482148</v>
      </c>
      <c r="L33" s="603">
        <v>12467.524582598215</v>
      </c>
      <c r="M33" s="603">
        <v>8250.4974810764306</v>
      </c>
      <c r="N33" s="603">
        <v>7673.6767684838023</v>
      </c>
      <c r="O33" s="603">
        <v>7010.358093758713</v>
      </c>
      <c r="P33" s="603">
        <v>6841.8882256518864</v>
      </c>
      <c r="Q33" s="603">
        <v>6549.9576034548318</v>
      </c>
      <c r="R33" s="603">
        <v>6376.458784061233</v>
      </c>
      <c r="S33" s="603">
        <v>6108.6671280406799</v>
      </c>
      <c r="T33" s="603">
        <v>6540.4025960099671</v>
      </c>
      <c r="U33" s="603">
        <v>10966.012983990062</v>
      </c>
      <c r="V33" s="605">
        <f>SUM(L33:T33)</f>
        <v>67819.431263135746</v>
      </c>
      <c r="W33" s="605">
        <f>U33+J33+K33</f>
        <v>32042.155011756327</v>
      </c>
    </row>
    <row r="34" spans="1:24" x14ac:dyDescent="0.35">
      <c r="A34" s="311" t="s">
        <v>407</v>
      </c>
      <c r="B34" s="311" t="s">
        <v>409</v>
      </c>
      <c r="C34" s="311" t="s">
        <v>872</v>
      </c>
      <c r="D34" s="311" t="s">
        <v>869</v>
      </c>
      <c r="E34" s="245" t="s">
        <v>865</v>
      </c>
      <c r="F34" s="245" t="s">
        <v>868</v>
      </c>
      <c r="I34" s="604">
        <f>SUM(J34:U34)</f>
        <v>94811.032343785002</v>
      </c>
      <c r="J34" s="603">
        <v>9205.6889952710389</v>
      </c>
      <c r="K34" s="603">
        <v>10937.131786274809</v>
      </c>
      <c r="L34" s="603">
        <v>9311.4426651062386</v>
      </c>
      <c r="M34" s="603">
        <v>7926.3349427639096</v>
      </c>
      <c r="N34" s="603">
        <v>7833.6988636247752</v>
      </c>
      <c r="O34" s="603">
        <v>8348.2141142590117</v>
      </c>
      <c r="P34" s="603">
        <v>7685.9944855515441</v>
      </c>
      <c r="Q34" s="603">
        <v>5746.47032987273</v>
      </c>
      <c r="R34" s="603">
        <v>5833.5062430185681</v>
      </c>
      <c r="S34" s="603">
        <v>6090.1805177113847</v>
      </c>
      <c r="T34" s="603">
        <v>6533.5269921807958</v>
      </c>
      <c r="U34" s="603">
        <v>9358.8424081502017</v>
      </c>
      <c r="V34" s="605">
        <f>SUM(L34:T34)</f>
        <v>65309.369154088956</v>
      </c>
      <c r="W34" s="605">
        <f>U34+J34+K34</f>
        <v>29501.663189696053</v>
      </c>
    </row>
    <row r="35" spans="1:24" x14ac:dyDescent="0.35">
      <c r="A35" s="247" t="s">
        <v>538</v>
      </c>
      <c r="B35" s="248"/>
      <c r="C35" s="248"/>
      <c r="D35" s="248"/>
      <c r="E35" s="248"/>
      <c r="F35" s="248"/>
      <c r="G35" s="248"/>
      <c r="H35" s="248"/>
      <c r="I35" s="601">
        <f>SUM(I36:I39)</f>
        <v>67808100.163355336</v>
      </c>
      <c r="J35" s="607"/>
      <c r="K35" s="607"/>
      <c r="L35" s="607"/>
      <c r="M35" s="607"/>
      <c r="N35" s="607"/>
      <c r="O35" s="607"/>
      <c r="P35" s="607"/>
      <c r="Q35" s="607"/>
      <c r="R35" s="607"/>
      <c r="S35" s="607"/>
      <c r="T35" s="607"/>
      <c r="U35" s="607"/>
      <c r="V35" s="603">
        <f>+V34+V33+V32+V31</f>
        <v>310293.71306516143</v>
      </c>
      <c r="W35" s="603">
        <f>+W34+W33+W32+W31</f>
        <v>125703.14346736745</v>
      </c>
      <c r="X35" s="245">
        <f>+W35+V35</f>
        <v>435996.85653252888</v>
      </c>
    </row>
    <row r="36" spans="1:24" x14ac:dyDescent="0.35">
      <c r="A36" s="311" t="s">
        <v>392</v>
      </c>
      <c r="B36" s="311" t="s">
        <v>392</v>
      </c>
      <c r="C36" s="311" t="s">
        <v>876</v>
      </c>
      <c r="D36" s="311" t="s">
        <v>876</v>
      </c>
      <c r="E36" s="245" t="s">
        <v>875</v>
      </c>
      <c r="F36" s="245" t="s">
        <v>875</v>
      </c>
      <c r="I36" s="604">
        <f>SUM(J36:U36)</f>
        <v>6003017.5213681953</v>
      </c>
      <c r="J36" s="603">
        <v>500251.46011401637</v>
      </c>
      <c r="K36" s="603">
        <v>500251.46011401637</v>
      </c>
      <c r="L36" s="603">
        <v>500251.46011401637</v>
      </c>
      <c r="M36" s="603">
        <v>500251.46011401637</v>
      </c>
      <c r="N36" s="603">
        <v>500251.46011401637</v>
      </c>
      <c r="O36" s="603">
        <v>500251.46011401637</v>
      </c>
      <c r="P36" s="603">
        <v>500251.46011401637</v>
      </c>
      <c r="Q36" s="603">
        <v>500251.46011401637</v>
      </c>
      <c r="R36" s="603">
        <v>500251.46011401637</v>
      </c>
      <c r="S36" s="603">
        <v>500251.46011401637</v>
      </c>
      <c r="T36" s="603">
        <v>500251.46011401637</v>
      </c>
      <c r="U36" s="603">
        <v>500251.46011401637</v>
      </c>
      <c r="V36" s="605">
        <f>SUM(L36:T36)</f>
        <v>4502263.1410261467</v>
      </c>
      <c r="W36" s="605">
        <f>U36+J36+K36</f>
        <v>1500754.3803420491</v>
      </c>
    </row>
    <row r="37" spans="1:24" x14ac:dyDescent="0.35">
      <c r="A37" s="311" t="s">
        <v>396</v>
      </c>
      <c r="B37" s="311" t="s">
        <v>388</v>
      </c>
      <c r="C37" s="311" t="s">
        <v>864</v>
      </c>
      <c r="D37" s="311" t="s">
        <v>867</v>
      </c>
      <c r="E37" s="245" t="s">
        <v>871</v>
      </c>
      <c r="F37" s="245" t="s">
        <v>874</v>
      </c>
      <c r="I37" s="604">
        <f>SUM(J37:U37)</f>
        <v>17192108.10286998</v>
      </c>
      <c r="J37" s="603">
        <v>2124196.7603761833</v>
      </c>
      <c r="K37" s="603">
        <v>1852883.2075605809</v>
      </c>
      <c r="L37" s="603">
        <v>1229594.6168178448</v>
      </c>
      <c r="M37" s="603">
        <v>1299735.8251342461</v>
      </c>
      <c r="N37" s="603">
        <v>1267664.7431888704</v>
      </c>
      <c r="O37" s="603">
        <v>1203858.1725299212</v>
      </c>
      <c r="P37" s="603">
        <v>1070110.3917408711</v>
      </c>
      <c r="Q37" s="603">
        <v>1281699.4011352076</v>
      </c>
      <c r="R37" s="603">
        <v>1294918.8066369393</v>
      </c>
      <c r="S37" s="603">
        <v>1261014.698358671</v>
      </c>
      <c r="T37" s="603">
        <v>1316562.5274512973</v>
      </c>
      <c r="U37" s="603">
        <v>1989868.9519393428</v>
      </c>
      <c r="V37" s="605">
        <f>SUM(L37:T37)</f>
        <v>11225159.182993868</v>
      </c>
      <c r="W37" s="605">
        <f>U37+J37+K37</f>
        <v>5966948.919876107</v>
      </c>
    </row>
    <row r="38" spans="1:24" x14ac:dyDescent="0.35">
      <c r="A38" s="311" t="s">
        <v>398</v>
      </c>
      <c r="B38" s="311" t="s">
        <v>390</v>
      </c>
      <c r="C38" s="311" t="s">
        <v>863</v>
      </c>
      <c r="D38" s="311" t="s">
        <v>866</v>
      </c>
      <c r="E38" s="245" t="s">
        <v>870</v>
      </c>
      <c r="F38" s="245" t="s">
        <v>873</v>
      </c>
      <c r="I38" s="604">
        <f>SUM(J38:U38)</f>
        <v>25336382.812755469</v>
      </c>
      <c r="J38" s="603">
        <v>3169164.4404377984</v>
      </c>
      <c r="K38" s="603">
        <v>2842827.0009250809</v>
      </c>
      <c r="L38" s="603">
        <v>1754062.9391140183</v>
      </c>
      <c r="M38" s="603">
        <v>1916477.7487135215</v>
      </c>
      <c r="N38" s="603">
        <v>1849245.9671714159</v>
      </c>
      <c r="O38" s="603">
        <v>1760344.5183504692</v>
      </c>
      <c r="P38" s="603">
        <v>1603057.1771934445</v>
      </c>
      <c r="Q38" s="603">
        <v>1877121.1088905681</v>
      </c>
      <c r="R38" s="603">
        <v>1704572.4595530927</v>
      </c>
      <c r="S38" s="603">
        <v>1750944.318789382</v>
      </c>
      <c r="T38" s="603">
        <v>1932685.4887629717</v>
      </c>
      <c r="U38" s="603">
        <v>3175879.6448537069</v>
      </c>
      <c r="V38" s="605">
        <f>SUM(L38:T38)</f>
        <v>16148511.726538884</v>
      </c>
      <c r="W38" s="605">
        <f>U38+J38+K38</f>
        <v>9187871.0862165857</v>
      </c>
    </row>
    <row r="39" spans="1:24" x14ac:dyDescent="0.35">
      <c r="A39" s="311" t="s">
        <v>394</v>
      </c>
      <c r="B39" s="311" t="s">
        <v>386</v>
      </c>
      <c r="C39" s="311" t="s">
        <v>865</v>
      </c>
      <c r="D39" s="311" t="s">
        <v>868</v>
      </c>
      <c r="E39" s="245" t="s">
        <v>872</v>
      </c>
      <c r="F39" s="245" t="s">
        <v>869</v>
      </c>
      <c r="I39" s="604">
        <f>SUM(J39:U39)</f>
        <v>19276591.726361692</v>
      </c>
      <c r="J39" s="603">
        <v>1814702.141310835</v>
      </c>
      <c r="K39" s="603">
        <v>2075085.2418627869</v>
      </c>
      <c r="L39" s="603">
        <v>1442284.2659886677</v>
      </c>
      <c r="M39" s="603">
        <v>1453774.0954450832</v>
      </c>
      <c r="N39" s="603">
        <v>1497563.6600686768</v>
      </c>
      <c r="O39" s="603">
        <v>1615496.6845846034</v>
      </c>
      <c r="P39" s="603">
        <v>1478019.2363122338</v>
      </c>
      <c r="Q39" s="603">
        <v>1423773.4773144207</v>
      </c>
      <c r="R39" s="603">
        <v>1389407.8409123155</v>
      </c>
      <c r="S39" s="603">
        <v>1525292.8197604243</v>
      </c>
      <c r="T39" s="603">
        <v>1492514.4881850528</v>
      </c>
      <c r="U39" s="603">
        <v>2068677.7746165912</v>
      </c>
      <c r="V39" s="605">
        <f>SUM(L39:T39)</f>
        <v>13318126.568571478</v>
      </c>
      <c r="W39" s="605">
        <f>U39+J39+K39</f>
        <v>5958465.1577902129</v>
      </c>
    </row>
    <row r="40" spans="1:24" s="330" customFormat="1" x14ac:dyDescent="0.35">
      <c r="A40" s="329" t="s">
        <v>254</v>
      </c>
      <c r="I40" s="601">
        <f>SUM(I41:I46)</f>
        <v>127026541.67870221</v>
      </c>
      <c r="J40" s="610"/>
      <c r="K40" s="610"/>
      <c r="L40" s="610"/>
      <c r="M40" s="610"/>
      <c r="N40" s="610"/>
      <c r="O40" s="610"/>
      <c r="P40" s="610"/>
      <c r="Q40" s="610"/>
      <c r="R40" s="610"/>
      <c r="S40" s="610"/>
      <c r="T40" s="610"/>
      <c r="U40" s="610"/>
      <c r="V40" s="603">
        <f>+V39+V38+V37+V36</f>
        <v>45194060.619130373</v>
      </c>
      <c r="W40" s="603">
        <f>+W39+W38+W37+W36</f>
        <v>22614039.544224951</v>
      </c>
      <c r="X40" s="330">
        <f>+W40+V40</f>
        <v>67808100.163355321</v>
      </c>
    </row>
    <row r="41" spans="1:24" x14ac:dyDescent="0.35">
      <c r="A41" s="311" t="s">
        <v>256</v>
      </c>
      <c r="B41" s="311" t="s">
        <v>256</v>
      </c>
      <c r="C41" s="311" t="s">
        <v>862</v>
      </c>
      <c r="D41" s="328" t="s">
        <v>1382</v>
      </c>
      <c r="E41" s="245" t="s">
        <v>862</v>
      </c>
      <c r="F41" s="245" t="s">
        <v>862</v>
      </c>
      <c r="I41" s="604">
        <f t="shared" ref="I41:I46" si="0">SUM(J41:U41)</f>
        <v>195556.50195397457</v>
      </c>
      <c r="J41" s="603">
        <v>16296.375162831213</v>
      </c>
      <c r="K41" s="603">
        <v>16296.375162831213</v>
      </c>
      <c r="L41" s="603">
        <v>16296.375162831213</v>
      </c>
      <c r="M41" s="603">
        <v>16296.375162831213</v>
      </c>
      <c r="N41" s="603">
        <v>16296.375162831213</v>
      </c>
      <c r="O41" s="603">
        <v>16296.375162831213</v>
      </c>
      <c r="P41" s="603">
        <v>16296.375162831213</v>
      </c>
      <c r="Q41" s="603">
        <v>16296.375162831213</v>
      </c>
      <c r="R41" s="603">
        <v>16296.375162831213</v>
      </c>
      <c r="S41" s="603">
        <v>16296.375162831213</v>
      </c>
      <c r="T41" s="603">
        <v>16296.375162831213</v>
      </c>
      <c r="U41" s="603">
        <v>16296.375162831213</v>
      </c>
      <c r="V41" s="605">
        <f t="shared" ref="V41:V46" si="1">SUM(L41:T41)</f>
        <v>146667.37646548092</v>
      </c>
      <c r="W41" s="605">
        <f t="shared" ref="W41:W46" si="2">U41+J41+K41</f>
        <v>48889.125488493635</v>
      </c>
    </row>
    <row r="42" spans="1:24" x14ac:dyDescent="0.35">
      <c r="A42" s="311" t="s">
        <v>256</v>
      </c>
      <c r="B42" s="311" t="s">
        <v>256</v>
      </c>
      <c r="C42" s="311" t="s">
        <v>862</v>
      </c>
      <c r="D42" s="311" t="s">
        <v>862</v>
      </c>
      <c r="E42" s="245" t="s">
        <v>862</v>
      </c>
      <c r="F42" s="245" t="s">
        <v>862</v>
      </c>
      <c r="I42" s="604">
        <f t="shared" si="0"/>
        <v>12716388.555132737</v>
      </c>
      <c r="J42" s="603">
        <v>924647.21974737616</v>
      </c>
      <c r="K42" s="603">
        <v>924647.21974737616</v>
      </c>
      <c r="L42" s="603">
        <v>1232861.180650407</v>
      </c>
      <c r="M42" s="603">
        <v>1232861.180650407</v>
      </c>
      <c r="N42" s="603">
        <v>1232861.180650407</v>
      </c>
      <c r="O42" s="603">
        <v>1232861.180650407</v>
      </c>
      <c r="P42" s="603">
        <v>1232861.180650407</v>
      </c>
      <c r="Q42" s="603">
        <v>935458.28029807017</v>
      </c>
      <c r="R42" s="603">
        <v>901911.43665738637</v>
      </c>
      <c r="S42" s="603">
        <v>905033.60405354679</v>
      </c>
      <c r="T42" s="603">
        <v>940827.34081180941</v>
      </c>
      <c r="U42" s="603">
        <v>1019557.5505651349</v>
      </c>
      <c r="V42" s="605">
        <f t="shared" si="1"/>
        <v>9847536.5650728494</v>
      </c>
      <c r="W42" s="605">
        <f t="shared" si="2"/>
        <v>2868851.9900598871</v>
      </c>
    </row>
    <row r="43" spans="1:24" x14ac:dyDescent="0.35">
      <c r="A43" s="311" t="s">
        <v>257</v>
      </c>
      <c r="B43" s="311" t="s">
        <v>257</v>
      </c>
      <c r="C43" s="311" t="s">
        <v>861</v>
      </c>
      <c r="D43" s="328" t="s">
        <v>1385</v>
      </c>
      <c r="E43" s="245" t="s">
        <v>861</v>
      </c>
      <c r="F43" s="245" t="s">
        <v>861</v>
      </c>
      <c r="I43" s="604">
        <f t="shared" si="0"/>
        <v>25509590.858794399</v>
      </c>
      <c r="J43" s="603">
        <v>2498398.6891168784</v>
      </c>
      <c r="K43" s="603">
        <v>2322883.3738636891</v>
      </c>
      <c r="L43" s="603">
        <v>2429758.2298298203</v>
      </c>
      <c r="M43" s="603">
        <v>2055926.7707021951</v>
      </c>
      <c r="N43" s="603">
        <v>2036953.347972577</v>
      </c>
      <c r="O43" s="603">
        <v>1917009.784842799</v>
      </c>
      <c r="P43" s="603">
        <v>1848721.3279110598</v>
      </c>
      <c r="Q43" s="603">
        <v>1815082.7929697321</v>
      </c>
      <c r="R43" s="603">
        <v>1796763.7971542263</v>
      </c>
      <c r="S43" s="603">
        <v>1798508.9355918604</v>
      </c>
      <c r="T43" s="603">
        <v>2312308.4298651847</v>
      </c>
      <c r="U43" s="603">
        <v>2677275.3789743735</v>
      </c>
      <c r="V43" s="605">
        <f t="shared" si="1"/>
        <v>18011033.416839451</v>
      </c>
      <c r="W43" s="605">
        <f t="shared" si="2"/>
        <v>7498557.4419549406</v>
      </c>
    </row>
    <row r="44" spans="1:24" x14ac:dyDescent="0.35">
      <c r="A44" s="311" t="s">
        <v>435</v>
      </c>
      <c r="B44" s="311" t="s">
        <v>258</v>
      </c>
      <c r="C44" s="311" t="s">
        <v>857</v>
      </c>
      <c r="D44" s="311" t="s">
        <v>859</v>
      </c>
      <c r="E44" s="245" t="s">
        <v>857</v>
      </c>
      <c r="F44" s="245" t="s">
        <v>859</v>
      </c>
      <c r="I44" s="604">
        <f t="shared" si="0"/>
        <v>23411323.852273922</v>
      </c>
      <c r="J44" s="603">
        <v>3734094.1084987982</v>
      </c>
      <c r="K44" s="603">
        <v>3425437.1587160421</v>
      </c>
      <c r="L44" s="603">
        <v>1803000.4408461235</v>
      </c>
      <c r="M44" s="603">
        <v>1615082.9521411536</v>
      </c>
      <c r="N44" s="603">
        <v>1562620.458560993</v>
      </c>
      <c r="O44" s="603">
        <v>1125335.5029550428</v>
      </c>
      <c r="P44" s="603">
        <v>1225989.9250147424</v>
      </c>
      <c r="Q44" s="603">
        <v>1180160.5716960919</v>
      </c>
      <c r="R44" s="603">
        <v>1153565.3341704526</v>
      </c>
      <c r="S44" s="603">
        <v>1275002.5427661904</v>
      </c>
      <c r="T44" s="603">
        <v>1689146.8638276241</v>
      </c>
      <c r="U44" s="603">
        <v>3621887.9930806719</v>
      </c>
      <c r="V44" s="605">
        <f t="shared" si="1"/>
        <v>12629904.591978416</v>
      </c>
      <c r="W44" s="605">
        <f t="shared" si="2"/>
        <v>10781419.260295512</v>
      </c>
    </row>
    <row r="45" spans="1:24" x14ac:dyDescent="0.35">
      <c r="A45" s="311" t="s">
        <v>438</v>
      </c>
      <c r="B45" s="311" t="s">
        <v>259</v>
      </c>
      <c r="C45" s="311" t="s">
        <v>856</v>
      </c>
      <c r="D45" s="311" t="s">
        <v>858</v>
      </c>
      <c r="E45" s="245" t="s">
        <v>856</v>
      </c>
      <c r="F45" s="245" t="s">
        <v>858</v>
      </c>
      <c r="I45" s="604">
        <f t="shared" si="0"/>
        <v>32815015.079564761</v>
      </c>
      <c r="J45" s="603">
        <v>4530309.5214309944</v>
      </c>
      <c r="K45" s="603">
        <v>4187185.0451694499</v>
      </c>
      <c r="L45" s="603">
        <v>2617142.2017184854</v>
      </c>
      <c r="M45" s="603">
        <v>2403217.8217534223</v>
      </c>
      <c r="N45" s="603">
        <v>2355548.304744354</v>
      </c>
      <c r="O45" s="603">
        <v>1723147.5185894028</v>
      </c>
      <c r="P45" s="603">
        <v>1895901.6144640674</v>
      </c>
      <c r="Q45" s="603">
        <v>1841632.0327992265</v>
      </c>
      <c r="R45" s="603">
        <v>2150926.2726933714</v>
      </c>
      <c r="S45" s="603">
        <v>2001944.2802912309</v>
      </c>
      <c r="T45" s="603">
        <v>2606083.8712915638</v>
      </c>
      <c r="U45" s="603">
        <v>4501976.5946191959</v>
      </c>
      <c r="V45" s="605">
        <f t="shared" si="1"/>
        <v>19595543.918345124</v>
      </c>
      <c r="W45" s="605">
        <f t="shared" si="2"/>
        <v>13219471.161219642</v>
      </c>
    </row>
    <row r="46" spans="1:24" x14ac:dyDescent="0.35">
      <c r="A46" s="311" t="s">
        <v>491</v>
      </c>
      <c r="B46" s="311" t="s">
        <v>260</v>
      </c>
      <c r="C46" s="311" t="s">
        <v>490</v>
      </c>
      <c r="D46" s="311" t="s">
        <v>860</v>
      </c>
      <c r="E46" s="245" t="s">
        <v>490</v>
      </c>
      <c r="F46" s="245" t="s">
        <v>860</v>
      </c>
      <c r="I46" s="604">
        <f t="shared" si="0"/>
        <v>32378666.830982409</v>
      </c>
      <c r="J46" s="603">
        <v>4257848.4495019382</v>
      </c>
      <c r="K46" s="603">
        <v>4431571.3521669069</v>
      </c>
      <c r="L46" s="603">
        <v>2507191.3845614651</v>
      </c>
      <c r="M46" s="603">
        <v>2450971.3568413663</v>
      </c>
      <c r="N46" s="603">
        <v>2160155.4233454629</v>
      </c>
      <c r="O46" s="603">
        <v>2055422.1888153621</v>
      </c>
      <c r="P46" s="603">
        <v>2023739.1816019106</v>
      </c>
      <c r="Q46" s="603">
        <v>1600030.3950024701</v>
      </c>
      <c r="R46" s="603">
        <v>2026398.1903589629</v>
      </c>
      <c r="S46" s="603">
        <v>2079530.2824035976</v>
      </c>
      <c r="T46" s="603">
        <v>2415704.4006322925</v>
      </c>
      <c r="U46" s="603">
        <v>4370104.2257506754</v>
      </c>
      <c r="V46" s="605">
        <f t="shared" si="1"/>
        <v>19319142.803562887</v>
      </c>
      <c r="W46" s="605">
        <f t="shared" si="2"/>
        <v>13059524.027419519</v>
      </c>
    </row>
    <row r="47" spans="1:24" x14ac:dyDescent="0.35">
      <c r="A47" s="247" t="s">
        <v>261</v>
      </c>
      <c r="I47" s="601">
        <f>SUM(I48:I53)</f>
        <v>844272762.08326221</v>
      </c>
      <c r="J47" s="602"/>
      <c r="K47" s="602"/>
      <c r="L47" s="602"/>
      <c r="M47" s="602"/>
      <c r="N47" s="602"/>
      <c r="O47" s="602"/>
      <c r="P47" s="602"/>
      <c r="Q47" s="602"/>
      <c r="R47" s="602"/>
      <c r="S47" s="602"/>
      <c r="T47" s="602"/>
      <c r="U47" s="602"/>
      <c r="V47" s="603">
        <f>+V46+V45+V44+V43+V42+V41</f>
        <v>79549828.672264218</v>
      </c>
      <c r="W47" s="603">
        <f>+W46+W45+W44+W43+W42+W41</f>
        <v>47476713.006438002</v>
      </c>
      <c r="X47" s="245">
        <f>+W47+V47</f>
        <v>127026541.67870222</v>
      </c>
    </row>
    <row r="48" spans="1:24" x14ac:dyDescent="0.35">
      <c r="A48" s="311" t="s">
        <v>262</v>
      </c>
      <c r="B48" s="311" t="s">
        <v>262</v>
      </c>
      <c r="C48" s="311" t="s">
        <v>854</v>
      </c>
      <c r="D48" s="328" t="s">
        <v>1383</v>
      </c>
      <c r="E48" s="245" t="s">
        <v>854</v>
      </c>
      <c r="F48" s="245" t="s">
        <v>854</v>
      </c>
      <c r="I48" s="604">
        <f t="shared" ref="I48:I53" si="3">SUM(J48:U48)</f>
        <v>7429153.0102468403</v>
      </c>
      <c r="J48" s="603">
        <v>619096.08418723673</v>
      </c>
      <c r="K48" s="603">
        <v>619096.08418723673</v>
      </c>
      <c r="L48" s="603">
        <v>619096.08418723673</v>
      </c>
      <c r="M48" s="603">
        <v>619096.08418723673</v>
      </c>
      <c r="N48" s="603">
        <v>619096.08418723673</v>
      </c>
      <c r="O48" s="603">
        <v>619096.08418723673</v>
      </c>
      <c r="P48" s="603">
        <v>619096.08418723673</v>
      </c>
      <c r="Q48" s="603">
        <v>619096.08418723673</v>
      </c>
      <c r="R48" s="603">
        <v>619096.08418723673</v>
      </c>
      <c r="S48" s="603">
        <v>619096.08418723673</v>
      </c>
      <c r="T48" s="603">
        <v>619096.08418723673</v>
      </c>
      <c r="U48" s="603">
        <v>619096.08418723673</v>
      </c>
      <c r="V48" s="605">
        <f t="shared" ref="V48:V53" si="4">SUM(L48:T48)</f>
        <v>5571864.7576851305</v>
      </c>
      <c r="W48" s="605">
        <f t="shared" ref="W48:W53" si="5">U48+J48+K48</f>
        <v>1857288.2525617103</v>
      </c>
    </row>
    <row r="49" spans="1:26" x14ac:dyDescent="0.35">
      <c r="A49" s="311" t="s">
        <v>262</v>
      </c>
      <c r="B49" s="311" t="s">
        <v>262</v>
      </c>
      <c r="C49" s="311" t="s">
        <v>854</v>
      </c>
      <c r="D49" s="311" t="s">
        <v>854</v>
      </c>
      <c r="E49" s="245" t="s">
        <v>854</v>
      </c>
      <c r="F49" s="245" t="s">
        <v>854</v>
      </c>
      <c r="I49" s="604">
        <f t="shared" si="3"/>
        <v>80285053.377845407</v>
      </c>
      <c r="J49" s="603">
        <v>6737420.0835456308</v>
      </c>
      <c r="K49" s="603">
        <v>6711961.8976730788</v>
      </c>
      <c r="L49" s="603">
        <v>6667558.0851046741</v>
      </c>
      <c r="M49" s="603">
        <v>6679754.3322901297</v>
      </c>
      <c r="N49" s="603">
        <v>6711843.4875062304</v>
      </c>
      <c r="O49" s="603">
        <v>6635942.570555971</v>
      </c>
      <c r="P49" s="603">
        <v>6614747.1506899856</v>
      </c>
      <c r="Q49" s="603">
        <v>6739551.4665489122</v>
      </c>
      <c r="R49" s="603">
        <v>6615102.3811905319</v>
      </c>
      <c r="S49" s="603">
        <v>6659269.3734252397</v>
      </c>
      <c r="T49" s="603">
        <v>6729723.4227004396</v>
      </c>
      <c r="U49" s="603">
        <v>6782179.1266145809</v>
      </c>
      <c r="V49" s="605">
        <f t="shared" si="4"/>
        <v>60053492.270012118</v>
      </c>
      <c r="W49" s="605">
        <f t="shared" si="5"/>
        <v>20231561.107833289</v>
      </c>
    </row>
    <row r="50" spans="1:26" x14ac:dyDescent="0.35">
      <c r="A50" s="311" t="s">
        <v>263</v>
      </c>
      <c r="B50" s="311" t="s">
        <v>263</v>
      </c>
      <c r="C50" s="311" t="s">
        <v>853</v>
      </c>
      <c r="D50" s="328" t="s">
        <v>1384</v>
      </c>
      <c r="E50" s="245" t="s">
        <v>853</v>
      </c>
      <c r="F50" s="245" t="s">
        <v>853</v>
      </c>
      <c r="I50" s="604">
        <f t="shared" si="3"/>
        <v>183500256.46310589</v>
      </c>
      <c r="J50" s="603">
        <v>15679915.58481985</v>
      </c>
      <c r="K50" s="603">
        <v>15270533.413021741</v>
      </c>
      <c r="L50" s="603">
        <v>15028888.677392088</v>
      </c>
      <c r="M50" s="603">
        <v>15027603.333053632</v>
      </c>
      <c r="N50" s="603">
        <v>15574838.685151102</v>
      </c>
      <c r="O50" s="603">
        <v>15202088.826998979</v>
      </c>
      <c r="P50" s="603">
        <v>15407101.248982649</v>
      </c>
      <c r="Q50" s="603">
        <v>15367255.574490525</v>
      </c>
      <c r="R50" s="603">
        <v>15273746.773867879</v>
      </c>
      <c r="S50" s="603">
        <v>15067770.34363037</v>
      </c>
      <c r="T50" s="603">
        <v>15004788.471046045</v>
      </c>
      <c r="U50" s="603">
        <v>15595725.530651005</v>
      </c>
      <c r="V50" s="628">
        <f t="shared" si="4"/>
        <v>136954081.93461329</v>
      </c>
      <c r="W50" s="605">
        <f t="shared" si="5"/>
        <v>46546174.5284926</v>
      </c>
      <c r="Z50" s="245">
        <v>30386170.359999999</v>
      </c>
    </row>
    <row r="51" spans="1:26" x14ac:dyDescent="0.35">
      <c r="A51" s="311" t="s">
        <v>423</v>
      </c>
      <c r="B51" s="311" t="s">
        <v>264</v>
      </c>
      <c r="C51" s="311" t="s">
        <v>849</v>
      </c>
      <c r="D51" s="311" t="s">
        <v>852</v>
      </c>
      <c r="E51" s="245" t="s">
        <v>849</v>
      </c>
      <c r="F51" s="245" t="s">
        <v>852</v>
      </c>
      <c r="I51" s="604">
        <f t="shared" si="3"/>
        <v>148143205.63762683</v>
      </c>
      <c r="J51" s="603">
        <v>21385975.340851404</v>
      </c>
      <c r="K51" s="603">
        <v>20454021.450315874</v>
      </c>
      <c r="L51" s="603">
        <v>9582148.1059765574</v>
      </c>
      <c r="M51" s="603">
        <v>9417890.4241020977</v>
      </c>
      <c r="N51" s="603">
        <v>9903398.9201202411</v>
      </c>
      <c r="O51" s="603">
        <v>9086130.4064126574</v>
      </c>
      <c r="P51" s="603">
        <v>9504129.3828012608</v>
      </c>
      <c r="Q51" s="603">
        <v>9552772.4594357796</v>
      </c>
      <c r="R51" s="603">
        <v>10079305.277212668</v>
      </c>
      <c r="S51" s="603">
        <v>8839316.164028991</v>
      </c>
      <c r="T51" s="603">
        <v>9690722.0460747126</v>
      </c>
      <c r="U51" s="603">
        <v>20647395.660294589</v>
      </c>
      <c r="V51" s="605">
        <f t="shared" si="4"/>
        <v>85655813.18616496</v>
      </c>
      <c r="W51" s="605">
        <f t="shared" si="5"/>
        <v>62487392.451461866</v>
      </c>
    </row>
    <row r="52" spans="1:26" x14ac:dyDescent="0.35">
      <c r="A52" s="311" t="s">
        <v>425</v>
      </c>
      <c r="B52" s="311" t="s">
        <v>265</v>
      </c>
      <c r="C52" s="311" t="s">
        <v>848</v>
      </c>
      <c r="D52" s="311" t="s">
        <v>851</v>
      </c>
      <c r="E52" s="245" t="s">
        <v>848</v>
      </c>
      <c r="F52" s="245" t="s">
        <v>851</v>
      </c>
      <c r="I52" s="604">
        <f t="shared" si="3"/>
        <v>222850373.33440769</v>
      </c>
      <c r="J52" s="603">
        <v>26970923.368760031</v>
      </c>
      <c r="K52" s="603">
        <v>25624468.311280645</v>
      </c>
      <c r="L52" s="603">
        <v>15873011.792598192</v>
      </c>
      <c r="M52" s="603">
        <v>15832217.689003818</v>
      </c>
      <c r="N52" s="603">
        <v>16470754.678219024</v>
      </c>
      <c r="O52" s="603">
        <v>15371766.656514658</v>
      </c>
      <c r="P52" s="603">
        <v>16184571.251563355</v>
      </c>
      <c r="Q52" s="603">
        <v>16087781.974661697</v>
      </c>
      <c r="R52" s="603">
        <v>17205874.902439278</v>
      </c>
      <c r="S52" s="603">
        <v>15128297.468574995</v>
      </c>
      <c r="T52" s="603">
        <v>15997629.877153074</v>
      </c>
      <c r="U52" s="603">
        <v>26103075.363638941</v>
      </c>
      <c r="V52" s="628">
        <f t="shared" si="4"/>
        <v>144151906.29072809</v>
      </c>
      <c r="W52" s="605">
        <f t="shared" si="5"/>
        <v>78698467.043679625</v>
      </c>
      <c r="Z52" s="245">
        <v>30386170.359999999</v>
      </c>
    </row>
    <row r="53" spans="1:26" x14ac:dyDescent="0.35">
      <c r="A53" s="311" t="s">
        <v>421</v>
      </c>
      <c r="B53" s="311" t="s">
        <v>266</v>
      </c>
      <c r="C53" s="311" t="s">
        <v>850</v>
      </c>
      <c r="D53" s="311" t="s">
        <v>855</v>
      </c>
      <c r="E53" s="245" t="s">
        <v>850</v>
      </c>
      <c r="F53" s="245" t="s">
        <v>855</v>
      </c>
      <c r="I53" s="604">
        <f t="shared" si="3"/>
        <v>202064720.26002958</v>
      </c>
      <c r="J53" s="603">
        <v>23637291.626063921</v>
      </c>
      <c r="K53" s="603">
        <v>24776281.587216474</v>
      </c>
      <c r="L53" s="603">
        <v>13853024.007919805</v>
      </c>
      <c r="M53" s="603">
        <v>14604769.502660288</v>
      </c>
      <c r="N53" s="603">
        <v>14091491.334077464</v>
      </c>
      <c r="O53" s="603">
        <v>14859174.116532825</v>
      </c>
      <c r="P53" s="603">
        <v>14934960.388557911</v>
      </c>
      <c r="Q53" s="603">
        <v>13268823.167859994</v>
      </c>
      <c r="R53" s="603">
        <v>14238393.738221867</v>
      </c>
      <c r="S53" s="603">
        <v>15138964.63589148</v>
      </c>
      <c r="T53" s="603">
        <v>15045049.167073952</v>
      </c>
      <c r="U53" s="603">
        <v>23616496.987953596</v>
      </c>
      <c r="V53" s="605">
        <f t="shared" si="4"/>
        <v>130034650.05879559</v>
      </c>
      <c r="W53" s="605">
        <f t="shared" si="5"/>
        <v>72030070.201233983</v>
      </c>
    </row>
    <row r="54" spans="1:26" x14ac:dyDescent="0.35">
      <c r="A54" s="247" t="s">
        <v>267</v>
      </c>
      <c r="I54" s="601">
        <f>SUM(I55:I60)</f>
        <v>416164323.08121079</v>
      </c>
      <c r="J54" s="602"/>
      <c r="K54" s="602"/>
      <c r="L54" s="602"/>
      <c r="M54" s="602"/>
      <c r="N54" s="602"/>
      <c r="O54" s="602"/>
      <c r="P54" s="602"/>
      <c r="Q54" s="602"/>
      <c r="R54" s="602"/>
      <c r="S54" s="602"/>
      <c r="T54" s="602"/>
      <c r="U54" s="602"/>
      <c r="V54" s="603">
        <f>+V53+V52+V51+V50+V49+V48</f>
        <v>562421808.49799919</v>
      </c>
      <c r="W54" s="603">
        <f>+W53+W52+W51+W50+W49+W48</f>
        <v>281850953.58526307</v>
      </c>
      <c r="X54" s="245">
        <f>+W54+V54</f>
        <v>844272762.08326221</v>
      </c>
    </row>
    <row r="55" spans="1:26" x14ac:dyDescent="0.35">
      <c r="A55" s="311" t="s">
        <v>268</v>
      </c>
      <c r="B55" s="311" t="s">
        <v>268</v>
      </c>
      <c r="C55" s="311" t="s">
        <v>847</v>
      </c>
      <c r="D55" s="328" t="s">
        <v>1386</v>
      </c>
      <c r="E55" s="245" t="s">
        <v>847</v>
      </c>
      <c r="F55" s="245" t="s">
        <v>847</v>
      </c>
      <c r="I55" s="604">
        <f t="shared" ref="I55:I60" si="6">SUM(J55:U55)</f>
        <v>19224668.839552384</v>
      </c>
      <c r="J55" s="603">
        <v>1602055.7366293655</v>
      </c>
      <c r="K55" s="603">
        <v>1602055.7366293655</v>
      </c>
      <c r="L55" s="603">
        <v>1602055.7366293655</v>
      </c>
      <c r="M55" s="603">
        <v>1602055.7366293655</v>
      </c>
      <c r="N55" s="603">
        <v>1602055.7366293655</v>
      </c>
      <c r="O55" s="603">
        <v>1602055.7366293655</v>
      </c>
      <c r="P55" s="603">
        <v>1602055.7366293655</v>
      </c>
      <c r="Q55" s="603">
        <v>1602055.7366293655</v>
      </c>
      <c r="R55" s="603">
        <v>1602055.7366293655</v>
      </c>
      <c r="S55" s="603">
        <v>1602055.7366293655</v>
      </c>
      <c r="T55" s="603">
        <v>1602055.7366293655</v>
      </c>
      <c r="U55" s="603">
        <v>1602055.7366293655</v>
      </c>
      <c r="V55" s="605">
        <f t="shared" ref="V55:V60" si="7">SUM(L55:T55)</f>
        <v>14418501.629664287</v>
      </c>
      <c r="W55" s="605">
        <f t="shared" ref="W55:W60" si="8">U55+J55+K55</f>
        <v>4806167.2098880969</v>
      </c>
    </row>
    <row r="56" spans="1:26" x14ac:dyDescent="0.35">
      <c r="A56" s="311" t="s">
        <v>268</v>
      </c>
      <c r="B56" s="311" t="s">
        <v>268</v>
      </c>
      <c r="C56" s="311" t="s">
        <v>847</v>
      </c>
      <c r="D56" s="311" t="s">
        <v>847</v>
      </c>
      <c r="E56" s="245" t="s">
        <v>847</v>
      </c>
      <c r="F56" s="245" t="s">
        <v>847</v>
      </c>
      <c r="I56" s="604">
        <f t="shared" si="6"/>
        <v>46257649.154820777</v>
      </c>
      <c r="J56" s="603">
        <v>4492148.0938341729</v>
      </c>
      <c r="K56" s="603">
        <v>4336722.8800460258</v>
      </c>
      <c r="L56" s="603">
        <v>4803749.3678538948</v>
      </c>
      <c r="M56" s="603">
        <v>3577407.8796794433</v>
      </c>
      <c r="N56" s="603">
        <v>3714061.9323820691</v>
      </c>
      <c r="O56" s="603">
        <v>3568022.299136681</v>
      </c>
      <c r="P56" s="603">
        <v>3595052.771099838</v>
      </c>
      <c r="Q56" s="603">
        <v>3676519.6102110185</v>
      </c>
      <c r="R56" s="603">
        <v>3578534.1493445747</v>
      </c>
      <c r="S56" s="603">
        <v>3617953.5876241787</v>
      </c>
      <c r="T56" s="603">
        <v>3647987.4453610191</v>
      </c>
      <c r="U56" s="603">
        <v>3649489.1382478611</v>
      </c>
      <c r="V56" s="605">
        <f t="shared" si="7"/>
        <v>33779289.042692721</v>
      </c>
      <c r="W56" s="605">
        <f t="shared" si="8"/>
        <v>12478360.11212806</v>
      </c>
      <c r="X56" s="245" t="e">
        <f>+#REF!+#REF!</f>
        <v>#REF!</v>
      </c>
    </row>
    <row r="57" spans="1:26" x14ac:dyDescent="0.35">
      <c r="A57" s="311" t="s">
        <v>269</v>
      </c>
      <c r="B57" s="311" t="s">
        <v>269</v>
      </c>
      <c r="C57" s="311" t="s">
        <v>846</v>
      </c>
      <c r="D57" s="311" t="s">
        <v>846</v>
      </c>
      <c r="E57" s="245" t="s">
        <v>846</v>
      </c>
      <c r="F57" s="245" t="s">
        <v>846</v>
      </c>
      <c r="I57" s="604">
        <f t="shared" si="6"/>
        <v>92413397.448192343</v>
      </c>
      <c r="J57" s="603">
        <v>8419808.2998302896</v>
      </c>
      <c r="K57" s="603">
        <v>9140139.0946973097</v>
      </c>
      <c r="L57" s="603">
        <v>8828493.4929334056</v>
      </c>
      <c r="M57" s="603">
        <v>7232886.0301840743</v>
      </c>
      <c r="N57" s="603">
        <v>7870121.5112182032</v>
      </c>
      <c r="O57" s="603">
        <v>7108598.779337747</v>
      </c>
      <c r="P57" s="603">
        <v>7398251.2707168972</v>
      </c>
      <c r="Q57" s="603">
        <v>7647879.0541963838</v>
      </c>
      <c r="R57" s="603">
        <v>7093852.8343220828</v>
      </c>
      <c r="S57" s="603">
        <v>6843171.7690557633</v>
      </c>
      <c r="T57" s="603">
        <v>7199181.0130054094</v>
      </c>
      <c r="U57" s="603">
        <v>7631014.2986947764</v>
      </c>
      <c r="V57" s="605">
        <f t="shared" si="7"/>
        <v>67222435.754969969</v>
      </c>
      <c r="W57" s="605">
        <f t="shared" si="8"/>
        <v>25190961.693222374</v>
      </c>
    </row>
    <row r="58" spans="1:26" x14ac:dyDescent="0.35">
      <c r="A58" s="311" t="s">
        <v>337</v>
      </c>
      <c r="B58" s="311" t="s">
        <v>330</v>
      </c>
      <c r="C58" s="311" t="s">
        <v>841</v>
      </c>
      <c r="D58" s="311" t="s">
        <v>844</v>
      </c>
      <c r="E58" s="245" t="s">
        <v>841</v>
      </c>
      <c r="F58" s="245" t="s">
        <v>844</v>
      </c>
      <c r="I58" s="604">
        <f t="shared" si="6"/>
        <v>76410816.189020112</v>
      </c>
      <c r="J58" s="603">
        <v>10013014.921509134</v>
      </c>
      <c r="K58" s="603">
        <v>9302733.5545795504</v>
      </c>
      <c r="L58" s="603">
        <v>8993610.5882873274</v>
      </c>
      <c r="M58" s="603">
        <v>8947517.3001652732</v>
      </c>
      <c r="N58" s="603">
        <v>10244909.522910127</v>
      </c>
      <c r="O58" s="603">
        <v>3356004.4079903471</v>
      </c>
      <c r="P58" s="603">
        <v>3675071.1850535963</v>
      </c>
      <c r="Q58" s="603">
        <v>3541239.421029706</v>
      </c>
      <c r="R58" s="603">
        <v>3747246.7609052961</v>
      </c>
      <c r="S58" s="603">
        <v>3243754.9743119515</v>
      </c>
      <c r="T58" s="603">
        <v>3706682.6377966767</v>
      </c>
      <c r="U58" s="603">
        <v>7639030.9144811342</v>
      </c>
      <c r="V58" s="605">
        <f t="shared" si="7"/>
        <v>49456036.798450314</v>
      </c>
      <c r="W58" s="605">
        <f t="shared" si="8"/>
        <v>26954779.390569821</v>
      </c>
    </row>
    <row r="59" spans="1:26" x14ac:dyDescent="0.35">
      <c r="A59" s="311" t="s">
        <v>339</v>
      </c>
      <c r="B59" s="311" t="s">
        <v>332</v>
      </c>
      <c r="C59" s="311" t="s">
        <v>840</v>
      </c>
      <c r="D59" s="311" t="s">
        <v>843</v>
      </c>
      <c r="E59" s="245" t="s">
        <v>840</v>
      </c>
      <c r="F59" s="245" t="s">
        <v>843</v>
      </c>
      <c r="I59" s="604">
        <f t="shared" si="6"/>
        <v>99427729.595832273</v>
      </c>
      <c r="J59" s="603">
        <v>10764798.744264752</v>
      </c>
      <c r="K59" s="603">
        <v>10895161.672183489</v>
      </c>
      <c r="L59" s="603">
        <v>10705648.914856542</v>
      </c>
      <c r="M59" s="603">
        <v>9309377.0635289308</v>
      </c>
      <c r="N59" s="603">
        <v>11800834.104477767</v>
      </c>
      <c r="O59" s="603">
        <v>5582702.6462918231</v>
      </c>
      <c r="P59" s="603">
        <v>6227130.0709181027</v>
      </c>
      <c r="Q59" s="603">
        <v>7001022.6648333985</v>
      </c>
      <c r="R59" s="603">
        <v>6356532.3828664692</v>
      </c>
      <c r="S59" s="603">
        <v>5466940.3772641793</v>
      </c>
      <c r="T59" s="603">
        <v>5942979.9704421051</v>
      </c>
      <c r="U59" s="603">
        <v>9374600.9839047194</v>
      </c>
      <c r="V59" s="605">
        <f t="shared" si="7"/>
        <v>68393168.195479318</v>
      </c>
      <c r="W59" s="605">
        <f t="shared" si="8"/>
        <v>31034561.400352962</v>
      </c>
    </row>
    <row r="60" spans="1:26" x14ac:dyDescent="0.35">
      <c r="A60" s="311" t="s">
        <v>335</v>
      </c>
      <c r="B60" s="311" t="s">
        <v>328</v>
      </c>
      <c r="C60" s="311" t="s">
        <v>842</v>
      </c>
      <c r="D60" s="311" t="s">
        <v>845</v>
      </c>
      <c r="E60" s="245" t="s">
        <v>842</v>
      </c>
      <c r="F60" s="245" t="s">
        <v>845</v>
      </c>
      <c r="I60" s="604">
        <f t="shared" si="6"/>
        <v>82430061.853792921</v>
      </c>
      <c r="J60" s="603">
        <v>9363765.2539032139</v>
      </c>
      <c r="K60" s="603">
        <v>9338009.0411857814</v>
      </c>
      <c r="L60" s="603">
        <v>9148871.9313396104</v>
      </c>
      <c r="M60" s="603">
        <v>9210383.2740660422</v>
      </c>
      <c r="N60" s="603">
        <v>9779830.4204687234</v>
      </c>
      <c r="O60" s="603">
        <v>4932377.1177286617</v>
      </c>
      <c r="P60" s="603">
        <v>5103197.5105109634</v>
      </c>
      <c r="Q60" s="603">
        <v>4313613.3882438196</v>
      </c>
      <c r="R60" s="603">
        <v>4497234.8408679804</v>
      </c>
      <c r="S60" s="603">
        <v>4739486.1476506554</v>
      </c>
      <c r="T60" s="603">
        <v>4779108.1780889072</v>
      </c>
      <c r="U60" s="603">
        <v>7224184.7497385787</v>
      </c>
      <c r="V60" s="605">
        <f t="shared" si="7"/>
        <v>56504102.808965355</v>
      </c>
      <c r="W60" s="605">
        <f t="shared" si="8"/>
        <v>25925959.044827573</v>
      </c>
    </row>
    <row r="61" spans="1:26" x14ac:dyDescent="0.35">
      <c r="A61" s="247" t="s">
        <v>270</v>
      </c>
      <c r="I61" s="601">
        <f>SUM(I62:I66)</f>
        <v>69642397.975944668</v>
      </c>
      <c r="J61" s="602"/>
      <c r="K61" s="602"/>
      <c r="L61" s="602"/>
      <c r="M61" s="602"/>
      <c r="N61" s="602"/>
      <c r="O61" s="602"/>
      <c r="P61" s="602"/>
      <c r="Q61" s="602"/>
      <c r="R61" s="602"/>
      <c r="S61" s="602"/>
      <c r="T61" s="602"/>
      <c r="U61" s="602"/>
      <c r="V61" s="603">
        <f>+V60+V59+V58+V57+V56+V55</f>
        <v>289773534.23022199</v>
      </c>
      <c r="W61" s="603">
        <f>+W60+W59+W58+W57+W56+W55</f>
        <v>126390788.85098889</v>
      </c>
      <c r="X61" s="245">
        <f>+V61+W61</f>
        <v>416164323.08121085</v>
      </c>
    </row>
    <row r="62" spans="1:26" x14ac:dyDescent="0.35">
      <c r="A62" s="311" t="s">
        <v>520</v>
      </c>
      <c r="B62" s="311" t="s">
        <v>520</v>
      </c>
      <c r="C62" s="311" t="s">
        <v>519</v>
      </c>
      <c r="D62" s="328" t="s">
        <v>519</v>
      </c>
      <c r="E62" s="245" t="s">
        <v>519</v>
      </c>
      <c r="F62" s="245" t="s">
        <v>519</v>
      </c>
      <c r="I62" s="604">
        <f>SUM(J62:U62)</f>
        <v>2031028.686854691</v>
      </c>
      <c r="J62" s="603">
        <v>169252.39057122424</v>
      </c>
      <c r="K62" s="603">
        <v>169252.39057122424</v>
      </c>
      <c r="L62" s="603">
        <v>169252.39057122424</v>
      </c>
      <c r="M62" s="603">
        <v>169252.39057122424</v>
      </c>
      <c r="N62" s="603">
        <v>169252.39057122424</v>
      </c>
      <c r="O62" s="603">
        <v>169252.39057122424</v>
      </c>
      <c r="P62" s="603">
        <v>169252.39057122424</v>
      </c>
      <c r="Q62" s="603">
        <v>169252.39057122424</v>
      </c>
      <c r="R62" s="603">
        <v>169252.39057122424</v>
      </c>
      <c r="S62" s="603">
        <v>169252.39057122424</v>
      </c>
      <c r="T62" s="603">
        <v>169252.39057122424</v>
      </c>
      <c r="U62" s="603">
        <v>169252.39057122424</v>
      </c>
      <c r="V62" s="605">
        <f>SUM(L62:T62)</f>
        <v>1523271.5151410182</v>
      </c>
      <c r="W62" s="605">
        <f>U62+J62+K62</f>
        <v>507757.17171367269</v>
      </c>
    </row>
    <row r="63" spans="1:26" x14ac:dyDescent="0.35">
      <c r="A63" s="311" t="s">
        <v>518</v>
      </c>
      <c r="B63" s="311" t="s">
        <v>518</v>
      </c>
      <c r="C63" s="311" t="s">
        <v>517</v>
      </c>
      <c r="D63" s="311" t="s">
        <v>517</v>
      </c>
      <c r="E63" s="245" t="s">
        <v>517</v>
      </c>
      <c r="F63" s="245" t="s">
        <v>517</v>
      </c>
      <c r="I63" s="604">
        <f>SUM(J63:U63)</f>
        <v>2489755.696063247</v>
      </c>
      <c r="J63" s="603">
        <v>260742.49277737428</v>
      </c>
      <c r="K63" s="603">
        <v>234742.52911011473</v>
      </c>
      <c r="L63" s="603">
        <v>204828.59169152181</v>
      </c>
      <c r="M63" s="603">
        <v>181871.29909706322</v>
      </c>
      <c r="N63" s="603">
        <v>178022.96681244302</v>
      </c>
      <c r="O63" s="603">
        <v>149686.8557604003</v>
      </c>
      <c r="P63" s="603">
        <v>177543.36622329737</v>
      </c>
      <c r="Q63" s="603">
        <v>191176.73009193977</v>
      </c>
      <c r="R63" s="603">
        <v>187864.56392151254</v>
      </c>
      <c r="S63" s="603">
        <v>189900.65474016042</v>
      </c>
      <c r="T63" s="603">
        <v>241422.1970682508</v>
      </c>
      <c r="U63" s="603">
        <v>291953.44876916887</v>
      </c>
      <c r="V63" s="605">
        <f>SUM(L63:T63)</f>
        <v>1702317.225406589</v>
      </c>
      <c r="W63" s="605">
        <f>U63+J63+K63</f>
        <v>787438.47065665782</v>
      </c>
    </row>
    <row r="64" spans="1:26" x14ac:dyDescent="0.35">
      <c r="A64" s="311" t="s">
        <v>498</v>
      </c>
      <c r="B64" s="311" t="s">
        <v>503</v>
      </c>
      <c r="C64" s="311" t="s">
        <v>497</v>
      </c>
      <c r="D64" s="311" t="s">
        <v>502</v>
      </c>
      <c r="E64" s="245" t="s">
        <v>497</v>
      </c>
      <c r="F64" s="245" t="s">
        <v>502</v>
      </c>
      <c r="I64" s="604">
        <f>SUM(J64:U64)</f>
        <v>16991488.763708673</v>
      </c>
      <c r="J64" s="603">
        <v>2332746.810629854</v>
      </c>
      <c r="K64" s="603">
        <v>2161709.5954614682</v>
      </c>
      <c r="L64" s="603">
        <v>1248644.8234548001</v>
      </c>
      <c r="M64" s="603">
        <v>1104523.8199079398</v>
      </c>
      <c r="N64" s="603">
        <v>1075122.6637004497</v>
      </c>
      <c r="O64" s="603">
        <v>871799.81103123666</v>
      </c>
      <c r="P64" s="603">
        <v>998160.21809251886</v>
      </c>
      <c r="Q64" s="603">
        <v>1034741.6236743053</v>
      </c>
      <c r="R64" s="603">
        <v>1200022.3936910126</v>
      </c>
      <c r="S64" s="603">
        <v>1088088.7965037369</v>
      </c>
      <c r="T64" s="603">
        <v>1479072.203675556</v>
      </c>
      <c r="U64" s="603">
        <v>2396856.003885794</v>
      </c>
      <c r="V64" s="605">
        <f>SUM(L64:T64)</f>
        <v>10100176.353731558</v>
      </c>
      <c r="W64" s="605">
        <f>U64+J64+K64</f>
        <v>6891312.4099771166</v>
      </c>
    </row>
    <row r="65" spans="1:24" x14ac:dyDescent="0.35">
      <c r="A65" s="311" t="s">
        <v>496</v>
      </c>
      <c r="B65" s="311" t="s">
        <v>501</v>
      </c>
      <c r="C65" s="311" t="s">
        <v>495</v>
      </c>
      <c r="D65" s="311" t="s">
        <v>500</v>
      </c>
      <c r="E65" s="245" t="s">
        <v>495</v>
      </c>
      <c r="F65" s="245" t="s">
        <v>500</v>
      </c>
      <c r="I65" s="604">
        <f>SUM(J65:U65)</f>
        <v>24785737.7421977</v>
      </c>
      <c r="J65" s="603">
        <v>3420210.2767594317</v>
      </c>
      <c r="K65" s="603">
        <v>312455.04400462029</v>
      </c>
      <c r="L65" s="603">
        <v>2056225.6045965687</v>
      </c>
      <c r="M65" s="603">
        <v>1881362.8239664838</v>
      </c>
      <c r="N65" s="603">
        <v>1860426.075089663</v>
      </c>
      <c r="O65" s="603">
        <v>1574125.8984639444</v>
      </c>
      <c r="P65" s="603">
        <v>1828348.6296266452</v>
      </c>
      <c r="Q65" s="603">
        <v>1848575.5710354436</v>
      </c>
      <c r="R65" s="603">
        <v>2110139.0938627394</v>
      </c>
      <c r="S65" s="603">
        <v>1870652.5494600432</v>
      </c>
      <c r="T65" s="603">
        <v>2436731.3853044626</v>
      </c>
      <c r="U65" s="603">
        <v>3586484.7900276589</v>
      </c>
      <c r="V65" s="605">
        <f>SUM(L65:T65)</f>
        <v>17466587.631405991</v>
      </c>
      <c r="W65" s="605">
        <f>U65+J65+K65</f>
        <v>7319150.1107917102</v>
      </c>
    </row>
    <row r="66" spans="1:24" x14ac:dyDescent="0.35">
      <c r="A66" s="311" t="s">
        <v>492</v>
      </c>
      <c r="B66" s="311" t="s">
        <v>494</v>
      </c>
      <c r="C66" s="311" t="s">
        <v>499</v>
      </c>
      <c r="D66" s="311" t="s">
        <v>493</v>
      </c>
      <c r="E66" s="245" t="s">
        <v>499</v>
      </c>
      <c r="F66" s="245" t="s">
        <v>493</v>
      </c>
      <c r="I66" s="604">
        <f>SUM(J66:U66)</f>
        <v>23344387.087120358</v>
      </c>
      <c r="J66" s="603">
        <v>2883632.470100468</v>
      </c>
      <c r="K66" s="603">
        <v>2971520.6932970104</v>
      </c>
      <c r="L66" s="603">
        <v>1567638.6022350776</v>
      </c>
      <c r="M66" s="603">
        <v>1584294.9425491439</v>
      </c>
      <c r="N66" s="603">
        <v>1439004.6443267332</v>
      </c>
      <c r="O66" s="603">
        <v>1462703.069036555</v>
      </c>
      <c r="P66" s="603">
        <v>1613906.7727642725</v>
      </c>
      <c r="Q66" s="603">
        <v>1460249.8952129541</v>
      </c>
      <c r="R66" s="603">
        <v>1615595.5264663445</v>
      </c>
      <c r="S66" s="603">
        <v>1720163.6556428235</v>
      </c>
      <c r="T66" s="603">
        <v>1999844.9199106975</v>
      </c>
      <c r="U66" s="603">
        <v>3025831.8955782764</v>
      </c>
      <c r="V66" s="605">
        <f>SUM(L66:T66)</f>
        <v>14463402.028144602</v>
      </c>
      <c r="W66" s="605">
        <f>U66+J66+K66</f>
        <v>8880985.0589757543</v>
      </c>
    </row>
    <row r="67" spans="1:24" x14ac:dyDescent="0.35">
      <c r="A67" s="247" t="s">
        <v>271</v>
      </c>
      <c r="I67" s="601">
        <f>SUM(I68:I72)</f>
        <v>95705979.653378621</v>
      </c>
      <c r="J67" s="602"/>
      <c r="K67" s="602"/>
      <c r="L67" s="602"/>
      <c r="M67" s="602"/>
      <c r="N67" s="602"/>
      <c r="O67" s="602"/>
      <c r="P67" s="602"/>
      <c r="Q67" s="602"/>
      <c r="R67" s="602"/>
      <c r="S67" s="602"/>
      <c r="T67" s="602"/>
      <c r="U67" s="602"/>
      <c r="V67" s="603">
        <f>+V66+V65+V64+V63+V62</f>
        <v>45255754.753829755</v>
      </c>
      <c r="W67" s="603">
        <f>+W66+W65+W64+W63+W62</f>
        <v>24386643.222114913</v>
      </c>
      <c r="X67" s="245">
        <f>+V67+W67</f>
        <v>69642397.975944668</v>
      </c>
    </row>
    <row r="68" spans="1:24" x14ac:dyDescent="0.35">
      <c r="A68" s="311" t="s">
        <v>342</v>
      </c>
      <c r="B68" s="311" t="s">
        <v>342</v>
      </c>
      <c r="C68" s="311" t="s">
        <v>1062</v>
      </c>
      <c r="D68" s="328" t="s">
        <v>1387</v>
      </c>
      <c r="E68" s="245" t="s">
        <v>1062</v>
      </c>
      <c r="F68" s="245" t="s">
        <v>1062</v>
      </c>
      <c r="I68" s="604">
        <f>SUM(J68:U68)</f>
        <v>11352225.634654567</v>
      </c>
      <c r="J68" s="603">
        <v>946018.80288788036</v>
      </c>
      <c r="K68" s="603">
        <v>946018.80288788036</v>
      </c>
      <c r="L68" s="603">
        <v>946018.80288788036</v>
      </c>
      <c r="M68" s="603">
        <v>946018.80288788036</v>
      </c>
      <c r="N68" s="603">
        <v>946018.80288788036</v>
      </c>
      <c r="O68" s="603">
        <v>946018.80288788036</v>
      </c>
      <c r="P68" s="603">
        <v>946018.80288788036</v>
      </c>
      <c r="Q68" s="603">
        <v>946018.80288788036</v>
      </c>
      <c r="R68" s="603">
        <v>946018.80288788036</v>
      </c>
      <c r="S68" s="603">
        <v>946018.80288788036</v>
      </c>
      <c r="T68" s="603">
        <v>946018.80288788036</v>
      </c>
      <c r="U68" s="603">
        <v>946018.80288788036</v>
      </c>
      <c r="V68" s="605">
        <f>SUM(L68:T68)</f>
        <v>8514169.2259909231</v>
      </c>
      <c r="W68" s="605">
        <f>U68+J68+K68</f>
        <v>2838056.4086636412</v>
      </c>
    </row>
    <row r="69" spans="1:24" x14ac:dyDescent="0.35">
      <c r="A69" s="311" t="s">
        <v>272</v>
      </c>
      <c r="B69" s="311" t="s">
        <v>272</v>
      </c>
      <c r="C69" s="311" t="s">
        <v>1063</v>
      </c>
      <c r="D69" s="311" t="s">
        <v>1063</v>
      </c>
      <c r="E69" s="245" t="s">
        <v>1063</v>
      </c>
      <c r="F69" s="245" t="s">
        <v>1063</v>
      </c>
      <c r="I69" s="604">
        <f>SUM(J69:U69)</f>
        <v>2572066.8770040716</v>
      </c>
      <c r="J69" s="603">
        <v>269002.86051650904</v>
      </c>
      <c r="K69" s="603">
        <v>252821.16062917048</v>
      </c>
      <c r="L69" s="603">
        <v>231806.43090822414</v>
      </c>
      <c r="M69" s="603">
        <v>207426.48041424717</v>
      </c>
      <c r="N69" s="603">
        <v>198154.22317791823</v>
      </c>
      <c r="O69" s="603">
        <v>168583.24064043668</v>
      </c>
      <c r="P69" s="603">
        <v>181220.71864979624</v>
      </c>
      <c r="Q69" s="603">
        <v>175886.48572233284</v>
      </c>
      <c r="R69" s="603">
        <v>185624.14583152777</v>
      </c>
      <c r="S69" s="603">
        <v>190815.17787503236</v>
      </c>
      <c r="T69" s="603">
        <v>243369.90228789306</v>
      </c>
      <c r="U69" s="603">
        <v>267356.05035098345</v>
      </c>
      <c r="V69" s="605">
        <f>SUM(L69:T69)</f>
        <v>1782886.8055074082</v>
      </c>
      <c r="W69" s="605">
        <f>U69+J69+K69</f>
        <v>789180.07149666292</v>
      </c>
    </row>
    <row r="70" spans="1:24" x14ac:dyDescent="0.35">
      <c r="A70" s="311" t="s">
        <v>349</v>
      </c>
      <c r="B70" s="311" t="s">
        <v>345</v>
      </c>
      <c r="C70" s="311" t="s">
        <v>878</v>
      </c>
      <c r="D70" s="311" t="s">
        <v>881</v>
      </c>
      <c r="E70" s="245" t="s">
        <v>878</v>
      </c>
      <c r="F70" s="245" t="s">
        <v>881</v>
      </c>
      <c r="I70" s="604">
        <f>SUM(J70:U70)</f>
        <v>19795662.642657191</v>
      </c>
      <c r="J70" s="603">
        <v>2748899.4305281704</v>
      </c>
      <c r="K70" s="603">
        <v>2662639.5237077577</v>
      </c>
      <c r="L70" s="603">
        <v>1586838.4856382345</v>
      </c>
      <c r="M70" s="603">
        <v>1390317.3095217396</v>
      </c>
      <c r="N70" s="603">
        <v>1326395.6964804549</v>
      </c>
      <c r="O70" s="603">
        <v>1022016.8000000007</v>
      </c>
      <c r="P70" s="603">
        <v>1087827.6123140636</v>
      </c>
      <c r="Q70" s="603">
        <v>1005938.6028949711</v>
      </c>
      <c r="R70" s="603">
        <v>1265919.0938777651</v>
      </c>
      <c r="S70" s="603">
        <v>1169423.2401990304</v>
      </c>
      <c r="T70" s="603">
        <v>1703546.5489483131</v>
      </c>
      <c r="U70" s="603">
        <v>2825900.2985466849</v>
      </c>
      <c r="V70" s="605">
        <f>SUM(L70:T70)</f>
        <v>11558223.389874574</v>
      </c>
      <c r="W70" s="605">
        <f>U70+J70+K70</f>
        <v>8237439.252782613</v>
      </c>
    </row>
    <row r="71" spans="1:24" x14ac:dyDescent="0.35">
      <c r="A71" s="311" t="s">
        <v>353</v>
      </c>
      <c r="B71" s="311" t="s">
        <v>273</v>
      </c>
      <c r="C71" s="311" t="s">
        <v>877</v>
      </c>
      <c r="D71" s="311" t="s">
        <v>880</v>
      </c>
      <c r="E71" s="245" t="s">
        <v>877</v>
      </c>
      <c r="F71" s="245" t="s">
        <v>880</v>
      </c>
      <c r="I71" s="604">
        <f>SUM(J71:U71)</f>
        <v>34861024.654094964</v>
      </c>
      <c r="J71" s="603">
        <v>4829212.7849146947</v>
      </c>
      <c r="K71" s="603">
        <v>4627636.8513703933</v>
      </c>
      <c r="L71" s="603">
        <v>2709956.9419673518</v>
      </c>
      <c r="M71" s="603">
        <v>2475077.3452729979</v>
      </c>
      <c r="N71" s="603">
        <v>2365540.999413053</v>
      </c>
      <c r="O71" s="603">
        <v>1859524.4460806248</v>
      </c>
      <c r="P71" s="603">
        <v>2003757.020801798</v>
      </c>
      <c r="Q71" s="603">
        <v>1802371.1111603491</v>
      </c>
      <c r="R71" s="603">
        <v>2250854.0076150498</v>
      </c>
      <c r="S71" s="603">
        <v>2041361.8071090607</v>
      </c>
      <c r="T71" s="603">
        <v>2929486.0200361828</v>
      </c>
      <c r="U71" s="603">
        <v>4966245.3183534099</v>
      </c>
      <c r="V71" s="605">
        <f>SUM(L71:T71)</f>
        <v>20437929.699456468</v>
      </c>
      <c r="W71" s="605">
        <f>U71+J71+K71</f>
        <v>14423094.9546385</v>
      </c>
    </row>
    <row r="72" spans="1:24" x14ac:dyDescent="0.35">
      <c r="A72" s="311" t="s">
        <v>351</v>
      </c>
      <c r="B72" s="311" t="s">
        <v>274</v>
      </c>
      <c r="C72" s="311" t="s">
        <v>879</v>
      </c>
      <c r="D72" s="311" t="s">
        <v>882</v>
      </c>
      <c r="E72" s="245" t="s">
        <v>879</v>
      </c>
      <c r="F72" s="245" t="s">
        <v>882</v>
      </c>
      <c r="I72" s="604">
        <f>SUM(J72:U72)</f>
        <v>27124999.844967831</v>
      </c>
      <c r="J72" s="603">
        <v>3381811.4144605091</v>
      </c>
      <c r="K72" s="603">
        <v>3659232.7616954474</v>
      </c>
      <c r="L72" s="603">
        <v>2009105.8128424499</v>
      </c>
      <c r="M72" s="603">
        <v>2028360.632689375</v>
      </c>
      <c r="N72" s="603">
        <v>1786763.0679497027</v>
      </c>
      <c r="O72" s="603">
        <v>1690964.6209872158</v>
      </c>
      <c r="P72" s="603">
        <v>1769948.8900893144</v>
      </c>
      <c r="Q72" s="603">
        <v>1411878.8993020533</v>
      </c>
      <c r="R72" s="603">
        <v>1680237.7525330775</v>
      </c>
      <c r="S72" s="603">
        <v>1844777.0499938922</v>
      </c>
      <c r="T72" s="603">
        <v>2350351.2289983481</v>
      </c>
      <c r="U72" s="603">
        <v>3511567.7134264437</v>
      </c>
      <c r="V72" s="605">
        <f>SUM(L72:T72)</f>
        <v>16572387.955385428</v>
      </c>
      <c r="W72" s="605">
        <f>U72+J72+K72</f>
        <v>10552611.889582399</v>
      </c>
    </row>
    <row r="73" spans="1:24" x14ac:dyDescent="0.35">
      <c r="A73" s="247" t="s">
        <v>547</v>
      </c>
      <c r="I73" s="601">
        <f>SUM(I74:I76)</f>
        <v>7883646.1457326189</v>
      </c>
      <c r="J73" s="602"/>
      <c r="K73" s="602"/>
      <c r="L73" s="602"/>
      <c r="M73" s="602"/>
      <c r="N73" s="602"/>
      <c r="O73" s="602"/>
      <c r="P73" s="602"/>
      <c r="Q73" s="602"/>
      <c r="R73" s="602"/>
      <c r="S73" s="602"/>
      <c r="T73" s="602"/>
      <c r="U73" s="602"/>
      <c r="V73" s="603">
        <f>+V72+V71+V70+V69+V68</f>
        <v>58865597.076214805</v>
      </c>
      <c r="W73" s="603">
        <f>+W72+W71+W70+W69+W68</f>
        <v>36840382.577163815</v>
      </c>
      <c r="X73" s="245">
        <f>+V73+W73</f>
        <v>95705979.653378621</v>
      </c>
    </row>
    <row r="74" spans="1:24" x14ac:dyDescent="0.35">
      <c r="A74" s="311" t="s">
        <v>489</v>
      </c>
      <c r="B74" s="311" t="s">
        <v>276</v>
      </c>
      <c r="C74" s="311" t="s">
        <v>488</v>
      </c>
      <c r="D74" s="311" t="s">
        <v>822</v>
      </c>
      <c r="E74" s="245" t="s">
        <v>488</v>
      </c>
      <c r="F74" s="245" t="s">
        <v>822</v>
      </c>
      <c r="I74" s="604">
        <f>SUM(J74:U74)</f>
        <v>1887643.3876987824</v>
      </c>
      <c r="J74" s="603">
        <v>213843.77249803825</v>
      </c>
      <c r="K74" s="603">
        <v>185053.1861113855</v>
      </c>
      <c r="L74" s="603">
        <v>111032.99648310391</v>
      </c>
      <c r="M74" s="603">
        <v>136123.36657545439</v>
      </c>
      <c r="N74" s="603">
        <v>135554.0816288139</v>
      </c>
      <c r="O74" s="603">
        <v>106688.78851169549</v>
      </c>
      <c r="P74" s="603">
        <v>152406.18921059521</v>
      </c>
      <c r="Q74" s="603">
        <v>157413.3504185866</v>
      </c>
      <c r="R74" s="603">
        <v>150967.82016277351</v>
      </c>
      <c r="S74" s="603">
        <v>138463.25502226909</v>
      </c>
      <c r="T74" s="603">
        <v>143173.04214471503</v>
      </c>
      <c r="U74" s="603">
        <v>256923.53893135156</v>
      </c>
      <c r="V74" s="605">
        <f>SUM(L74:T74)</f>
        <v>1231822.8901580072</v>
      </c>
      <c r="W74" s="605">
        <f>U74+J74+K74</f>
        <v>655820.49754077534</v>
      </c>
    </row>
    <row r="75" spans="1:24" x14ac:dyDescent="0.35">
      <c r="A75" s="311" t="s">
        <v>487</v>
      </c>
      <c r="B75" s="311" t="s">
        <v>277</v>
      </c>
      <c r="C75" s="311" t="s">
        <v>486</v>
      </c>
      <c r="D75" s="311" t="s">
        <v>821</v>
      </c>
      <c r="E75" s="245" t="s">
        <v>486</v>
      </c>
      <c r="F75" s="245" t="s">
        <v>821</v>
      </c>
      <c r="I75" s="604">
        <f>SUM(J75:U75)</f>
        <v>2866713.6123924288</v>
      </c>
      <c r="J75" s="603">
        <v>280320.10694149532</v>
      </c>
      <c r="K75" s="603">
        <v>254072.67353051604</v>
      </c>
      <c r="L75" s="603">
        <v>177102.99729945007</v>
      </c>
      <c r="M75" s="603">
        <v>218038.35261422198</v>
      </c>
      <c r="N75" s="603">
        <v>210434.6618871667</v>
      </c>
      <c r="O75" s="603">
        <v>173645.27540057534</v>
      </c>
      <c r="P75" s="603">
        <v>246407.1625337101</v>
      </c>
      <c r="Q75" s="603">
        <v>252580.67997591256</v>
      </c>
      <c r="R75" s="603">
        <v>250480.47242422862</v>
      </c>
      <c r="S75" s="603">
        <v>230470.12430719333</v>
      </c>
      <c r="T75" s="603">
        <v>227010.10186147972</v>
      </c>
      <c r="U75" s="603">
        <v>346151.00361647905</v>
      </c>
      <c r="V75" s="605">
        <f>SUM(L75:T75)</f>
        <v>1986169.8283039385</v>
      </c>
      <c r="W75" s="605">
        <f>U75+J75+K75</f>
        <v>880543.7840884903</v>
      </c>
    </row>
    <row r="76" spans="1:24" x14ac:dyDescent="0.35">
      <c r="A76" s="311" t="s">
        <v>480</v>
      </c>
      <c r="B76" s="311" t="s">
        <v>278</v>
      </c>
      <c r="C76" s="311" t="s">
        <v>482</v>
      </c>
      <c r="D76" s="311" t="s">
        <v>823</v>
      </c>
      <c r="E76" s="245" t="s">
        <v>482</v>
      </c>
      <c r="F76" s="245" t="s">
        <v>823</v>
      </c>
      <c r="I76" s="604">
        <f>SUM(J76:U76)</f>
        <v>3129289.1456414075</v>
      </c>
      <c r="J76" s="603">
        <v>306311.19215806661</v>
      </c>
      <c r="K76" s="603">
        <v>347319.91597925505</v>
      </c>
      <c r="L76" s="603">
        <v>192493.47907239117</v>
      </c>
      <c r="M76" s="603">
        <v>213438.41275525329</v>
      </c>
      <c r="N76" s="603">
        <v>210611.62036681862</v>
      </c>
      <c r="O76" s="603">
        <v>241643.33404926927</v>
      </c>
      <c r="P76" s="603">
        <v>245490.73575723055</v>
      </c>
      <c r="Q76" s="603">
        <v>241722.65855419327</v>
      </c>
      <c r="R76" s="603">
        <v>274095.5439587853</v>
      </c>
      <c r="S76" s="603">
        <v>249046.13841311552</v>
      </c>
      <c r="T76" s="603">
        <v>222539.3491133991</v>
      </c>
      <c r="U76" s="603">
        <v>384576.76546362974</v>
      </c>
      <c r="V76" s="605">
        <f>SUM(L76:T76)</f>
        <v>2091081.2720404561</v>
      </c>
      <c r="W76" s="605">
        <f>U76+J76+K76</f>
        <v>1038207.8736009514</v>
      </c>
    </row>
    <row r="77" spans="1:24" x14ac:dyDescent="0.35">
      <c r="A77" s="247" t="s">
        <v>1478</v>
      </c>
      <c r="I77" s="601">
        <f>SUM(I78:I80)</f>
        <v>2081499.0858750106</v>
      </c>
      <c r="J77" s="602"/>
      <c r="K77" s="602"/>
      <c r="L77" s="602"/>
      <c r="M77" s="602"/>
      <c r="N77" s="602"/>
      <c r="O77" s="602"/>
      <c r="P77" s="602"/>
      <c r="Q77" s="602"/>
      <c r="R77" s="602"/>
      <c r="S77" s="602"/>
      <c r="T77" s="602"/>
      <c r="U77" s="602"/>
      <c r="V77" s="603">
        <f>+V76+V75+V74</f>
        <v>5309073.9905024013</v>
      </c>
      <c r="W77" s="603">
        <f>+W76+W75+W74</f>
        <v>2574572.1552302171</v>
      </c>
      <c r="X77" s="245">
        <f>+W77+V77</f>
        <v>7883646.1457326189</v>
      </c>
    </row>
    <row r="78" spans="1:24" x14ac:dyDescent="0.35">
      <c r="A78" s="311" t="s">
        <v>507</v>
      </c>
      <c r="B78" s="311" t="s">
        <v>443</v>
      </c>
      <c r="C78" s="311" t="s">
        <v>506</v>
      </c>
      <c r="D78" s="311" t="s">
        <v>1053</v>
      </c>
      <c r="E78" s="245" t="s">
        <v>506</v>
      </c>
      <c r="F78" s="245" t="s">
        <v>1053</v>
      </c>
      <c r="I78" s="604">
        <f>SUM(J78:U78)</f>
        <v>570944.2352897292</v>
      </c>
      <c r="J78" s="603">
        <v>63609.699354247088</v>
      </c>
      <c r="K78" s="603">
        <v>57128.712564175032</v>
      </c>
      <c r="L78" s="603">
        <v>26558.611112356164</v>
      </c>
      <c r="M78" s="603">
        <v>33519.440715027791</v>
      </c>
      <c r="N78" s="603">
        <v>30369.458799265398</v>
      </c>
      <c r="O78" s="603">
        <v>29843.035191060535</v>
      </c>
      <c r="P78" s="603">
        <v>43448.120126919406</v>
      </c>
      <c r="Q78" s="603">
        <v>43280.627881980821</v>
      </c>
      <c r="R78" s="603">
        <v>40889.846770643948</v>
      </c>
      <c r="S78" s="603">
        <v>39098.484772353346</v>
      </c>
      <c r="T78" s="603">
        <v>51764.988140144291</v>
      </c>
      <c r="U78" s="603">
        <v>111433.20986155553</v>
      </c>
      <c r="V78" s="605">
        <f>SUM(L78:T78)</f>
        <v>338772.61350975168</v>
      </c>
      <c r="W78" s="605">
        <f>U78+J78+K78</f>
        <v>232171.62177997764</v>
      </c>
    </row>
    <row r="79" spans="1:24" x14ac:dyDescent="0.35">
      <c r="A79" s="311" t="s">
        <v>505</v>
      </c>
      <c r="B79" s="311" t="s">
        <v>445</v>
      </c>
      <c r="C79" s="311" t="s">
        <v>504</v>
      </c>
      <c r="D79" s="311" t="s">
        <v>1052</v>
      </c>
      <c r="E79" s="245" t="s">
        <v>504</v>
      </c>
      <c r="F79" s="245" t="s">
        <v>1052</v>
      </c>
      <c r="I79" s="604">
        <f>SUM(J79:U79)</f>
        <v>824662.15792991233</v>
      </c>
      <c r="J79" s="603">
        <v>87158.521617348742</v>
      </c>
      <c r="K79" s="603">
        <v>82679.786841389679</v>
      </c>
      <c r="L79" s="603">
        <v>40087.019464038167</v>
      </c>
      <c r="M79" s="603">
        <v>51601.549325140877</v>
      </c>
      <c r="N79" s="603">
        <v>47702.651154421968</v>
      </c>
      <c r="O79" s="603">
        <v>46519.375403364756</v>
      </c>
      <c r="P79" s="603">
        <v>70323.173615827691</v>
      </c>
      <c r="Q79" s="603">
        <v>70016.83052836993</v>
      </c>
      <c r="R79" s="603">
        <v>68629.53646277939</v>
      </c>
      <c r="S79" s="603">
        <v>58802.984439481341</v>
      </c>
      <c r="T79" s="603">
        <v>69696.556818773941</v>
      </c>
      <c r="U79" s="603">
        <v>131444.17225897577</v>
      </c>
      <c r="V79" s="605">
        <f>SUM(L79:T79)</f>
        <v>523379.67721219803</v>
      </c>
      <c r="W79" s="605">
        <f>U79+J79+K79</f>
        <v>301282.48071771418</v>
      </c>
    </row>
    <row r="80" spans="1:24" x14ac:dyDescent="0.35">
      <c r="A80" s="311" t="s">
        <v>509</v>
      </c>
      <c r="B80" s="311" t="s">
        <v>441</v>
      </c>
      <c r="C80" s="311" t="s">
        <v>508</v>
      </c>
      <c r="D80" s="311" t="s">
        <v>1054</v>
      </c>
      <c r="E80" s="245" t="s">
        <v>508</v>
      </c>
      <c r="F80" s="245" t="s">
        <v>1054</v>
      </c>
      <c r="I80" s="604">
        <f>SUM(J80:U80)</f>
        <v>685892.69265536917</v>
      </c>
      <c r="J80" s="603">
        <v>87457.691576385259</v>
      </c>
      <c r="K80" s="603">
        <v>91586.906287963939</v>
      </c>
      <c r="L80" s="603">
        <v>36142.973557966026</v>
      </c>
      <c r="M80" s="603">
        <v>41600.658615853245</v>
      </c>
      <c r="N80" s="603">
        <v>40548.731967466352</v>
      </c>
      <c r="O80" s="603">
        <v>47595.327947213082</v>
      </c>
      <c r="P80" s="603">
        <v>53027.297456782209</v>
      </c>
      <c r="Q80" s="603">
        <v>45225.479447524063</v>
      </c>
      <c r="R80" s="603">
        <v>50007.767823803923</v>
      </c>
      <c r="S80" s="603">
        <v>48940.304698308202</v>
      </c>
      <c r="T80" s="603">
        <v>46692.069312540145</v>
      </c>
      <c r="U80" s="603">
        <v>97067.483963562816</v>
      </c>
      <c r="V80" s="605">
        <f>SUM(L80:T80)</f>
        <v>409780.61082745728</v>
      </c>
      <c r="W80" s="605">
        <f>U80+J80+K80</f>
        <v>276112.08182791201</v>
      </c>
    </row>
    <row r="81" spans="1:24" x14ac:dyDescent="0.35">
      <c r="A81" s="247" t="s">
        <v>1479</v>
      </c>
      <c r="B81" s="248"/>
      <c r="C81" s="248"/>
      <c r="D81" s="248"/>
      <c r="I81" s="601">
        <f>I82</f>
        <v>654253.60607192642</v>
      </c>
      <c r="J81" s="606"/>
      <c r="K81" s="606"/>
      <c r="L81" s="606"/>
      <c r="M81" s="638"/>
      <c r="N81" s="638"/>
      <c r="O81" s="638"/>
      <c r="P81" s="606"/>
      <c r="Q81" s="606"/>
      <c r="R81" s="606"/>
      <c r="S81" s="606"/>
      <c r="T81" s="606"/>
      <c r="U81" s="606"/>
      <c r="V81" s="611">
        <f>+V80+V79+V78</f>
        <v>1271932.901549407</v>
      </c>
      <c r="W81" s="611">
        <f>+W80+W79+W78</f>
        <v>809566.18432560377</v>
      </c>
      <c r="X81" s="245">
        <f>+W81+V81</f>
        <v>2081499.0858750108</v>
      </c>
    </row>
    <row r="82" spans="1:24" x14ac:dyDescent="0.35">
      <c r="A82" s="328" t="s">
        <v>1488</v>
      </c>
      <c r="B82" s="328" t="s">
        <v>1488</v>
      </c>
      <c r="C82" s="328" t="s">
        <v>1481</v>
      </c>
      <c r="D82" s="328" t="s">
        <v>1481</v>
      </c>
      <c r="I82" s="604">
        <f>SUM(J82:U82)</f>
        <v>654253.60607192642</v>
      </c>
      <c r="J82" s="603">
        <v>49952.288598305036</v>
      </c>
      <c r="K82" s="603">
        <v>81351.650409912399</v>
      </c>
      <c r="L82" s="603">
        <v>88341.365333526948</v>
      </c>
      <c r="M82" s="603">
        <v>46206.140095867624</v>
      </c>
      <c r="N82" s="603">
        <v>41600.660660318812</v>
      </c>
      <c r="O82" s="603">
        <v>65212.309507527942</v>
      </c>
      <c r="P82" s="603">
        <v>35077.150211786393</v>
      </c>
      <c r="Q82" s="603">
        <v>57404.756469862594</v>
      </c>
      <c r="R82" s="603">
        <v>26150.905082967947</v>
      </c>
      <c r="S82" s="603">
        <v>49734.693401759396</v>
      </c>
      <c r="T82" s="603">
        <v>48225.084823191261</v>
      </c>
      <c r="U82" s="603">
        <v>64996.60147690009</v>
      </c>
      <c r="V82" s="605">
        <f>SUM(L82:T82)</f>
        <v>457953.06558680895</v>
      </c>
      <c r="W82" s="605">
        <f>U82+J82+K82</f>
        <v>196300.54048511753</v>
      </c>
    </row>
    <row r="83" spans="1:24" x14ac:dyDescent="0.35">
      <c r="A83" s="248" t="s">
        <v>485</v>
      </c>
      <c r="B83" s="248" t="s">
        <v>485</v>
      </c>
      <c r="C83" s="248"/>
      <c r="D83" s="248"/>
      <c r="E83" s="248"/>
      <c r="F83" s="248"/>
      <c r="G83" s="248"/>
      <c r="H83" s="248"/>
      <c r="I83" s="612">
        <f>SUM(J83:U83)</f>
        <v>108389366.31801006</v>
      </c>
      <c r="J83" s="603">
        <v>9264730.5600333326</v>
      </c>
      <c r="K83" s="603">
        <v>9285436.5444831681</v>
      </c>
      <c r="L83" s="603">
        <v>8997235.344419077</v>
      </c>
      <c r="M83" s="603">
        <v>9302042.3630030714</v>
      </c>
      <c r="N83" s="603">
        <v>9041320.2106988411</v>
      </c>
      <c r="O83" s="603">
        <v>8873505.2975105476</v>
      </c>
      <c r="P83" s="603">
        <v>8886688.5171583891</v>
      </c>
      <c r="Q83" s="603">
        <v>8955001.5644244738</v>
      </c>
      <c r="R83" s="603">
        <v>9180314.7729512118</v>
      </c>
      <c r="S83" s="603">
        <v>8842344.9601611048</v>
      </c>
      <c r="T83" s="603">
        <v>8873505.2975105476</v>
      </c>
      <c r="U83" s="603">
        <v>8887240.8856562953</v>
      </c>
      <c r="V83" s="605">
        <f>SUM(L83:T83)</f>
        <v>80951958.327837273</v>
      </c>
      <c r="W83" s="605">
        <f>U83+J83+K83</f>
        <v>27437407.990172796</v>
      </c>
      <c r="X83" s="245">
        <f>+V83+W83</f>
        <v>108389366.31801006</v>
      </c>
    </row>
    <row r="84" spans="1:24" x14ac:dyDescent="0.35">
      <c r="I84" s="714" t="s">
        <v>295</v>
      </c>
      <c r="J84" s="715">
        <v>366375316.03471595</v>
      </c>
      <c r="K84" s="715">
        <v>604154805.15738106</v>
      </c>
      <c r="L84" s="715">
        <v>289328490.05315393</v>
      </c>
      <c r="M84" s="715">
        <v>283836672.57159305</v>
      </c>
      <c r="N84" s="715">
        <v>288024633.22135955</v>
      </c>
      <c r="O84" s="715">
        <v>265290229.65452725</v>
      </c>
      <c r="P84" s="715">
        <v>261471640.36450619</v>
      </c>
      <c r="Q84" s="715">
        <v>209516162.2886506</v>
      </c>
      <c r="R84" s="715">
        <v>216514176.07922208</v>
      </c>
      <c r="S84" s="715">
        <v>212127583.07173514</v>
      </c>
      <c r="T84" s="715">
        <v>281188942.07891005</v>
      </c>
      <c r="U84" s="715">
        <v>383969464.76413804</v>
      </c>
      <c r="V84" s="722">
        <f>SUM(J84:U84)</f>
        <v>3661798115.3398924</v>
      </c>
      <c r="W84" s="882"/>
    </row>
    <row r="85" spans="1:24" x14ac:dyDescent="0.35">
      <c r="I85" s="716" t="s">
        <v>542</v>
      </c>
      <c r="J85" s="717">
        <v>159487609.07402214</v>
      </c>
      <c r="K85" s="717">
        <v>149293817.817774</v>
      </c>
      <c r="L85" s="717">
        <v>136423322.47165906</v>
      </c>
      <c r="M85" s="717">
        <v>136955059.2982437</v>
      </c>
      <c r="N85" s="717">
        <v>136467660.18952951</v>
      </c>
      <c r="O85" s="717">
        <v>138205507.92233992</v>
      </c>
      <c r="P85" s="717">
        <v>130479071.87610459</v>
      </c>
      <c r="Q85" s="717">
        <v>82602292.785058945</v>
      </c>
      <c r="R85" s="717">
        <v>86131754.875971138</v>
      </c>
      <c r="S85" s="717">
        <v>86856301.600073487</v>
      </c>
      <c r="T85" s="717">
        <v>147856822.11615786</v>
      </c>
      <c r="U85" s="717">
        <v>183738555.2735765</v>
      </c>
      <c r="V85" s="603"/>
      <c r="W85" s="603"/>
    </row>
    <row r="86" spans="1:24" x14ac:dyDescent="0.35">
      <c r="I86" s="718" t="s">
        <v>297</v>
      </c>
      <c r="J86" s="883">
        <v>197622976.40066084</v>
      </c>
      <c r="K86" s="883">
        <v>192949069.71662131</v>
      </c>
      <c r="L86" s="883">
        <v>143907932.23707598</v>
      </c>
      <c r="M86" s="883">
        <v>137579570.91034627</v>
      </c>
      <c r="N86" s="883">
        <v>142515652.82113123</v>
      </c>
      <c r="O86" s="883">
        <v>118211216.43467692</v>
      </c>
      <c r="P86" s="883">
        <v>122105879.97124317</v>
      </c>
      <c r="Q86" s="883">
        <v>117958867.93916714</v>
      </c>
      <c r="R86" s="883">
        <v>121202106.4302997</v>
      </c>
      <c r="S86" s="883">
        <v>116428936.51150054</v>
      </c>
      <c r="T86" s="883">
        <v>124458614.66524167</v>
      </c>
      <c r="U86" s="883">
        <v>191343668.60490519</v>
      </c>
      <c r="V86" s="603"/>
      <c r="W86" s="603"/>
    </row>
    <row r="87" spans="1:24" x14ac:dyDescent="0.35">
      <c r="I87" s="718" t="s">
        <v>298</v>
      </c>
      <c r="J87" s="883">
        <v>2754417.3327045701</v>
      </c>
      <c r="K87" s="883">
        <v>2694299.5762691982</v>
      </c>
      <c r="L87" s="883">
        <v>2135016.634857967</v>
      </c>
      <c r="M87" s="883">
        <v>2127477.1544160014</v>
      </c>
      <c r="N87" s="883">
        <v>2125387.0014221892</v>
      </c>
      <c r="O87" s="883">
        <v>2121803.8820042256</v>
      </c>
      <c r="P87" s="883">
        <v>2121281.3437557723</v>
      </c>
      <c r="Q87" s="883">
        <v>2124715.1665313211</v>
      </c>
      <c r="R87" s="883">
        <v>2124715.1665313211</v>
      </c>
      <c r="S87" s="883">
        <v>2126208.1329554729</v>
      </c>
      <c r="T87" s="883">
        <v>2121579.9370406028</v>
      </c>
      <c r="U87" s="883">
        <v>2698376.9635353195</v>
      </c>
      <c r="V87" s="722">
        <f>SUM(J87:U87)</f>
        <v>27275278.292023961</v>
      </c>
      <c r="W87" s="603"/>
    </row>
    <row r="88" spans="1:24" x14ac:dyDescent="0.35">
      <c r="I88" s="720" t="s">
        <v>543</v>
      </c>
      <c r="J88" s="721">
        <v>9264730.5600333326</v>
      </c>
      <c r="K88" s="721">
        <v>9285436.5444831681</v>
      </c>
      <c r="L88" s="721">
        <v>8997235.344419077</v>
      </c>
      <c r="M88" s="721">
        <v>9302042.3630030714</v>
      </c>
      <c r="N88" s="721">
        <v>9041320.2106988411</v>
      </c>
      <c r="O88" s="721">
        <v>8873505.2975105476</v>
      </c>
      <c r="P88" s="721">
        <v>8886688.5171583891</v>
      </c>
      <c r="Q88" s="721">
        <v>8955001.5644244738</v>
      </c>
      <c r="R88" s="721">
        <v>9180314.7729512118</v>
      </c>
      <c r="S88" s="721">
        <v>8842344.9601611048</v>
      </c>
      <c r="T88" s="721">
        <v>8873505.2975105476</v>
      </c>
      <c r="U88" s="721">
        <v>8887240.8856562953</v>
      </c>
      <c r="V88" s="603">
        <f>SUM(J88:U88)</f>
        <v>108389366.31801006</v>
      </c>
      <c r="W88" s="884"/>
    </row>
    <row r="89" spans="1:24" x14ac:dyDescent="0.35">
      <c r="D89" s="245" t="s">
        <v>1865</v>
      </c>
      <c r="I89" s="885">
        <f>I83+I81+I77+I73+I67+I61+I54+I47+I40+I35+I30+I28+I26+I21+I16+I13+I10+I6+I2-(I7+I3)</f>
        <v>3409171634.2613907</v>
      </c>
      <c r="J89" s="607">
        <v>369129733.36742085</v>
      </c>
      <c r="K89" s="607">
        <v>354222623.65514773</v>
      </c>
      <c r="L89" s="607">
        <v>291463506.68801206</v>
      </c>
      <c r="M89" s="607">
        <v>285964149.72600907</v>
      </c>
      <c r="N89" s="607">
        <v>290150020.22278178</v>
      </c>
      <c r="O89" s="607">
        <v>267412033.5365316</v>
      </c>
      <c r="P89" s="607">
        <v>263592921.70826194</v>
      </c>
      <c r="Q89" s="607">
        <v>211640877.4551819</v>
      </c>
      <c r="R89" s="607">
        <v>218638891.24575338</v>
      </c>
      <c r="S89" s="607">
        <v>214253791.20469058</v>
      </c>
      <c r="T89" s="607">
        <v>283310522.01595074</v>
      </c>
      <c r="U89" s="607">
        <v>386667841.72767329</v>
      </c>
      <c r="V89" s="603"/>
      <c r="W89" s="884"/>
    </row>
    <row r="90" spans="1:24" x14ac:dyDescent="0.35">
      <c r="D90" s="245" t="s">
        <v>298</v>
      </c>
      <c r="I90" s="591">
        <f>+I3+I7</f>
        <v>27275278.292023961</v>
      </c>
      <c r="J90" s="589"/>
      <c r="K90" s="589"/>
      <c r="L90" s="589"/>
      <c r="M90" s="589"/>
      <c r="N90" s="589"/>
      <c r="O90" s="589"/>
      <c r="P90" s="589"/>
      <c r="Q90" s="589"/>
      <c r="R90" s="589"/>
      <c r="S90" s="589"/>
      <c r="T90" s="589"/>
      <c r="U90" s="589"/>
      <c r="V90" s="587"/>
      <c r="W90" s="886"/>
    </row>
    <row r="91" spans="1:24" ht="15" thickBot="1" x14ac:dyDescent="0.4">
      <c r="D91" s="247" t="s">
        <v>1864</v>
      </c>
      <c r="I91" s="725">
        <f>SUM(I89:I90)</f>
        <v>3436446912.5534148</v>
      </c>
      <c r="J91" s="589"/>
      <c r="K91" s="589"/>
      <c r="L91" s="589"/>
      <c r="M91" s="589"/>
      <c r="N91" s="589"/>
      <c r="O91" s="589"/>
      <c r="P91" s="589"/>
      <c r="Q91" s="589"/>
      <c r="R91" s="589"/>
      <c r="S91" s="589"/>
      <c r="T91" s="589"/>
      <c r="U91" s="589"/>
      <c r="V91" s="587"/>
      <c r="W91" s="886"/>
    </row>
    <row r="92" spans="1:24" ht="15" thickTop="1" x14ac:dyDescent="0.35">
      <c r="I92" s="591">
        <f>'Tariff SUMMARY 26-27'!C25-'Tariff Rand Values Old'!I91</f>
        <v>1153562901.9205594</v>
      </c>
      <c r="J92" s="589"/>
      <c r="K92" s="589"/>
      <c r="L92" s="589"/>
      <c r="M92" s="589"/>
      <c r="N92" s="589"/>
      <c r="O92" s="589"/>
      <c r="P92" s="589"/>
      <c r="Q92" s="589"/>
      <c r="R92" s="589"/>
      <c r="S92" s="589"/>
      <c r="T92" s="589"/>
      <c r="U92" s="589"/>
      <c r="V92" s="587"/>
      <c r="W92" s="886"/>
    </row>
    <row r="93" spans="1:24" x14ac:dyDescent="0.35">
      <c r="I93" s="591"/>
      <c r="J93" s="589"/>
      <c r="K93" s="589"/>
      <c r="L93" s="589"/>
      <c r="M93" s="589"/>
      <c r="N93" s="589"/>
      <c r="O93" s="589"/>
      <c r="P93" s="589"/>
      <c r="Q93" s="589"/>
      <c r="R93" s="589"/>
      <c r="S93" s="589"/>
      <c r="T93" s="589"/>
      <c r="U93" s="589"/>
      <c r="V93" s="587"/>
      <c r="W93" s="886"/>
    </row>
    <row r="94" spans="1:24" x14ac:dyDescent="0.35">
      <c r="I94" s="591">
        <f>3578588914-'Tariff SUMMARY 26-27'!C25</f>
        <v>-1166696245.5925322</v>
      </c>
      <c r="J94" s="589"/>
      <c r="K94" s="589"/>
      <c r="L94" s="589"/>
      <c r="M94" s="589"/>
      <c r="N94" s="589"/>
      <c r="O94" s="589"/>
      <c r="P94" s="589"/>
      <c r="Q94" s="589"/>
      <c r="R94" s="589"/>
      <c r="S94" s="589"/>
      <c r="T94" s="589"/>
      <c r="U94" s="589"/>
      <c r="V94" s="587"/>
      <c r="W94" s="886"/>
    </row>
    <row r="95" spans="1:24" ht="15.5" x14ac:dyDescent="0.35">
      <c r="I95" s="633" t="s">
        <v>1630</v>
      </c>
      <c r="V95" s="887"/>
      <c r="W95" s="887"/>
    </row>
    <row r="96" spans="1:24" s="247" customFormat="1" x14ac:dyDescent="0.35">
      <c r="D96" s="359"/>
      <c r="E96" s="359"/>
      <c r="F96" s="544"/>
      <c r="G96" s="544"/>
      <c r="H96" s="544"/>
      <c r="I96" s="595" t="s">
        <v>295</v>
      </c>
      <c r="J96" s="595">
        <v>366375316.03471631</v>
      </c>
      <c r="K96" s="595">
        <v>351528324.0788784</v>
      </c>
      <c r="L96" s="595">
        <v>289328490.05315411</v>
      </c>
      <c r="M96" s="595">
        <v>283836672.57159305</v>
      </c>
      <c r="N96" s="595">
        <v>288024633.22135961</v>
      </c>
      <c r="O96" s="595">
        <v>265290229.65452737</v>
      </c>
      <c r="P96" s="595">
        <v>261471640.36450616</v>
      </c>
      <c r="Q96" s="595">
        <v>209516162.28865054</v>
      </c>
      <c r="R96" s="595">
        <v>216514176.07922208</v>
      </c>
      <c r="S96" s="595">
        <v>212127583.07173511</v>
      </c>
      <c r="T96" s="595">
        <v>281188942.07891011</v>
      </c>
      <c r="U96" s="595">
        <v>383969464.76413798</v>
      </c>
      <c r="V96" s="620">
        <f t="shared" ref="V96" si="9">SUM(V97:V98)</f>
        <v>3415497279.7803597</v>
      </c>
      <c r="W96" s="586"/>
    </row>
    <row r="97" spans="9:23" x14ac:dyDescent="0.35">
      <c r="I97" s="595" t="s">
        <v>296</v>
      </c>
      <c r="J97" s="617">
        <v>159487609.07402214</v>
      </c>
      <c r="K97" s="617">
        <v>149293817.81777397</v>
      </c>
      <c r="L97" s="617">
        <v>136423322.47165906</v>
      </c>
      <c r="M97" s="617">
        <v>136955059.2982437</v>
      </c>
      <c r="N97" s="617">
        <v>136467660.18952951</v>
      </c>
      <c r="O97" s="617">
        <v>138205507.92233992</v>
      </c>
      <c r="P97" s="617">
        <v>130479071.87610459</v>
      </c>
      <c r="Q97" s="617">
        <v>82602292.785058931</v>
      </c>
      <c r="R97" s="617">
        <v>86131754.875971153</v>
      </c>
      <c r="S97" s="617">
        <v>86856301.600073472</v>
      </c>
      <c r="T97" s="617">
        <v>147856822.11615786</v>
      </c>
      <c r="U97" s="617">
        <v>183738555.27357653</v>
      </c>
      <c r="V97" s="674">
        <f>SUM(J97:U97)</f>
        <v>1574497775.3005109</v>
      </c>
      <c r="W97" s="587"/>
    </row>
    <row r="98" spans="9:23" x14ac:dyDescent="0.35">
      <c r="I98" s="595" t="s">
        <v>297</v>
      </c>
      <c r="J98" s="618">
        <v>206887706.96069416</v>
      </c>
      <c r="K98" s="618">
        <v>202234506.26110446</v>
      </c>
      <c r="L98" s="618">
        <v>152905167.58149508</v>
      </c>
      <c r="M98" s="618">
        <v>146881613.27334934</v>
      </c>
      <c r="N98" s="618">
        <v>151556973.03183007</v>
      </c>
      <c r="O98" s="618">
        <v>127084721.73218746</v>
      </c>
      <c r="P98" s="618">
        <v>130992568.48840156</v>
      </c>
      <c r="Q98" s="618">
        <v>126913869.50359161</v>
      </c>
      <c r="R98" s="618">
        <v>130382421.20325091</v>
      </c>
      <c r="S98" s="618">
        <v>125271281.47166164</v>
      </c>
      <c r="T98" s="618">
        <v>133332119.96275222</v>
      </c>
      <c r="U98" s="618">
        <v>200230909.49056149</v>
      </c>
      <c r="V98" s="675">
        <f>SUM(J98:U98)+6406198.4-V10-W10</f>
        <v>1840999504.4798489</v>
      </c>
      <c r="W98" s="587"/>
    </row>
    <row r="99" spans="9:23" x14ac:dyDescent="0.35">
      <c r="I99" s="595" t="s">
        <v>298</v>
      </c>
      <c r="J99" s="595">
        <v>2754417.3327045701</v>
      </c>
      <c r="K99" s="595">
        <v>2694299.5762691982</v>
      </c>
      <c r="L99" s="595">
        <v>2135016.634857967</v>
      </c>
      <c r="M99" s="595">
        <v>2127477.1544160014</v>
      </c>
      <c r="N99" s="595">
        <v>2125387.0014221892</v>
      </c>
      <c r="O99" s="595">
        <v>2121803.8820042256</v>
      </c>
      <c r="P99" s="595">
        <v>2121281.3437557723</v>
      </c>
      <c r="Q99" s="595">
        <v>2124715.1665313211</v>
      </c>
      <c r="R99" s="595">
        <v>2124715.1665313211</v>
      </c>
      <c r="S99" s="595">
        <v>2126208.1329554729</v>
      </c>
      <c r="T99" s="595">
        <v>2121579.9370406028</v>
      </c>
      <c r="U99" s="595">
        <v>2698376.9635353195</v>
      </c>
      <c r="V99" s="665">
        <f>SUM(J99:U99)</f>
        <v>27275278.292023961</v>
      </c>
      <c r="W99" s="587"/>
    </row>
    <row r="100" spans="9:23" ht="15" thickBot="1" x14ac:dyDescent="0.4">
      <c r="I100" s="587" t="s">
        <v>295</v>
      </c>
      <c r="J100" s="597">
        <v>369129733.36742085</v>
      </c>
      <c r="K100" s="621">
        <v>354222623.65514761</v>
      </c>
      <c r="L100" s="621">
        <v>291463506.68801206</v>
      </c>
      <c r="M100" s="621">
        <v>285964149.72600907</v>
      </c>
      <c r="N100" s="621">
        <v>290150020.22278178</v>
      </c>
      <c r="O100" s="621">
        <v>267412033.5365316</v>
      </c>
      <c r="P100" s="621">
        <v>263592921.70826194</v>
      </c>
      <c r="Q100" s="621">
        <v>211640877.45518187</v>
      </c>
      <c r="R100" s="621">
        <v>218638891.24575341</v>
      </c>
      <c r="S100" s="621">
        <v>214253791.20469058</v>
      </c>
      <c r="T100" s="621">
        <v>283310522.01595074</v>
      </c>
      <c r="U100" s="621">
        <v>386667841.72767329</v>
      </c>
      <c r="V100" s="712">
        <f>+V96+V99</f>
        <v>3442772558.0723839</v>
      </c>
      <c r="W100" s="587"/>
    </row>
    <row r="101" spans="9:23" ht="15" thickTop="1" x14ac:dyDescent="0.35">
      <c r="V101" s="587"/>
      <c r="W101" s="587"/>
    </row>
    <row r="102" spans="9:23" x14ac:dyDescent="0.35">
      <c r="J102" s="594">
        <v>2754417.3327049017</v>
      </c>
      <c r="K102" s="594">
        <v>-249932181.50223345</v>
      </c>
      <c r="L102" s="594">
        <v>2135016.6348581314</v>
      </c>
      <c r="M102" s="594">
        <v>2127477.1544160247</v>
      </c>
      <c r="N102" s="594">
        <v>2125387.0014222264</v>
      </c>
      <c r="O102" s="594">
        <v>2121803.8820043504</v>
      </c>
      <c r="P102" s="594">
        <v>2121281.3437557518</v>
      </c>
      <c r="Q102" s="594">
        <v>2124715.1665312648</v>
      </c>
      <c r="R102" s="594">
        <v>2124715.1665313244</v>
      </c>
      <c r="S102" s="594">
        <v>2126208.1329554319</v>
      </c>
      <c r="T102" s="594">
        <v>2121579.9370406866</v>
      </c>
      <c r="U102" s="594">
        <v>2698376.9635352492</v>
      </c>
    </row>
    <row r="103" spans="9:23" x14ac:dyDescent="0.35">
      <c r="J103" s="594">
        <v>0</v>
      </c>
      <c r="K103" s="594">
        <v>-252626481.07850266</v>
      </c>
      <c r="L103" s="594">
        <v>0</v>
      </c>
      <c r="M103" s="594">
        <v>0</v>
      </c>
      <c r="N103" s="594">
        <v>0</v>
      </c>
      <c r="O103" s="594">
        <v>0</v>
      </c>
      <c r="P103" s="594">
        <v>0</v>
      </c>
      <c r="Q103" s="594">
        <v>0</v>
      </c>
      <c r="R103" s="594">
        <v>0</v>
      </c>
      <c r="S103" s="594">
        <v>0</v>
      </c>
      <c r="T103" s="594">
        <v>0</v>
      </c>
      <c r="U103" s="594">
        <v>0</v>
      </c>
    </row>
    <row r="106" spans="9:23" ht="16" thickBot="1" x14ac:dyDescent="0.4">
      <c r="I106" s="640" t="s">
        <v>1894</v>
      </c>
      <c r="U106" s="677">
        <v>6406198.4364314079</v>
      </c>
    </row>
    <row r="107" spans="9:23" ht="15" thickTop="1" x14ac:dyDescent="0.35">
      <c r="I107" s="598" t="s">
        <v>295</v>
      </c>
      <c r="J107" s="622">
        <v>402559290.5312922</v>
      </c>
      <c r="K107" s="622">
        <v>380592498.16730636</v>
      </c>
      <c r="L107" s="622">
        <v>354628039.4250561</v>
      </c>
      <c r="M107" s="622">
        <v>305186872.23757416</v>
      </c>
      <c r="N107" s="622">
        <v>298050138.66840714</v>
      </c>
      <c r="O107" s="622">
        <v>296200251.36863184</v>
      </c>
      <c r="P107" s="622">
        <v>285253528.43383664</v>
      </c>
      <c r="Q107" s="622">
        <v>230170475.99597788</v>
      </c>
      <c r="R107" s="622">
        <v>201496369.58590937</v>
      </c>
      <c r="S107" s="622">
        <v>206441280.46951458</v>
      </c>
      <c r="T107" s="622">
        <v>271512398.4698028</v>
      </c>
      <c r="U107" s="622">
        <v>358159960.13412201</v>
      </c>
      <c r="V107" s="673">
        <f>SUM(J107:U107)</f>
        <v>3590251103.487431</v>
      </c>
    </row>
    <row r="108" spans="9:23" x14ac:dyDescent="0.35">
      <c r="I108" s="598" t="s">
        <v>296</v>
      </c>
      <c r="J108" s="623">
        <v>181449052.84351498</v>
      </c>
      <c r="K108" s="623">
        <v>169851576.53128144</v>
      </c>
      <c r="L108" s="623">
        <v>155208813.97600651</v>
      </c>
      <c r="M108" s="623">
        <v>155813770.96361184</v>
      </c>
      <c r="N108" s="623">
        <v>155259256.99762771</v>
      </c>
      <c r="O108" s="623">
        <v>157236406.36324611</v>
      </c>
      <c r="P108" s="623">
        <v>148446040.07344419</v>
      </c>
      <c r="Q108" s="623">
        <v>93976628.501561537</v>
      </c>
      <c r="R108" s="623">
        <v>97992097.522392377</v>
      </c>
      <c r="S108" s="623">
        <v>98816414.330403581</v>
      </c>
      <c r="T108" s="623">
        <v>168216706.5215528</v>
      </c>
      <c r="U108" s="623">
        <v>209039354.334748</v>
      </c>
      <c r="V108" s="668">
        <f>SUM(J108:U108)</f>
        <v>1791306118.9593911</v>
      </c>
    </row>
    <row r="109" spans="9:23" x14ac:dyDescent="0.35">
      <c r="I109" s="598" t="s">
        <v>297</v>
      </c>
      <c r="J109" s="623">
        <v>221110237.68777719</v>
      </c>
      <c r="K109" s="623">
        <v>210740921.63602492</v>
      </c>
      <c r="L109" s="623">
        <v>199419225.44904962</v>
      </c>
      <c r="M109" s="623">
        <v>149373101.27396232</v>
      </c>
      <c r="N109" s="623">
        <v>142790881.67077944</v>
      </c>
      <c r="O109" s="623">
        <v>138963845.00538576</v>
      </c>
      <c r="P109" s="623">
        <v>136807488.36039245</v>
      </c>
      <c r="Q109" s="623">
        <v>136193847.49441633</v>
      </c>
      <c r="R109" s="623">
        <v>103504272.063517</v>
      </c>
      <c r="S109" s="623">
        <v>107624866.139111</v>
      </c>
      <c r="T109" s="623">
        <v>103295691.94825</v>
      </c>
      <c r="U109" s="623">
        <v>149120605.79937401</v>
      </c>
      <c r="V109" s="669">
        <f>SUM(J109:U109)</f>
        <v>1798944984.5280402</v>
      </c>
    </row>
    <row r="110" spans="9:23" x14ac:dyDescent="0.35">
      <c r="I110" s="598" t="s">
        <v>298</v>
      </c>
      <c r="J110" s="623">
        <v>3133700.5994179891</v>
      </c>
      <c r="K110" s="623">
        <v>3065304.6279214667</v>
      </c>
      <c r="L110" s="623">
        <v>2429008.4254779089</v>
      </c>
      <c r="M110" s="623">
        <v>2420430.7585790846</v>
      </c>
      <c r="N110" s="623">
        <v>2418052.7915180246</v>
      </c>
      <c r="O110" s="623">
        <v>2413976.2765562073</v>
      </c>
      <c r="P110" s="623">
        <v>2413381.784790942</v>
      </c>
      <c r="Q110" s="623">
        <v>2417288.4449626841</v>
      </c>
      <c r="R110" s="623">
        <v>2417288.4449626841</v>
      </c>
      <c r="S110" s="623">
        <v>2418986.9928634414</v>
      </c>
      <c r="T110" s="623">
        <v>2413721.4943710938</v>
      </c>
      <c r="U110" s="623">
        <v>3069943.471414133</v>
      </c>
      <c r="V110" s="667">
        <f>SUM(J110:U110)</f>
        <v>31031084.112835661</v>
      </c>
    </row>
    <row r="111" spans="9:23" ht="16" thickBot="1" x14ac:dyDescent="0.4">
      <c r="I111" s="588" t="s">
        <v>295</v>
      </c>
      <c r="J111" s="621">
        <v>405692991.13071018</v>
      </c>
      <c r="K111" s="621">
        <v>383657802.79522783</v>
      </c>
      <c r="L111" s="621">
        <v>357057047.85053402</v>
      </c>
      <c r="M111" s="621">
        <v>307607302.99615324</v>
      </c>
      <c r="N111" s="621">
        <v>300468191.45992517</v>
      </c>
      <c r="O111" s="621">
        <v>298614227.64518803</v>
      </c>
      <c r="P111" s="621">
        <v>287666910.21862757</v>
      </c>
      <c r="Q111" s="621">
        <v>232587764.44094056</v>
      </c>
      <c r="R111" s="621">
        <v>203913658.03087205</v>
      </c>
      <c r="S111" s="621">
        <v>208860267.46237803</v>
      </c>
      <c r="T111" s="621">
        <v>273926119.96417391</v>
      </c>
      <c r="U111" s="621">
        <v>361229903.60553616</v>
      </c>
      <c r="V111" s="712">
        <f t="shared" ref="V111" si="10">V110+V107</f>
        <v>3621282187.6002669</v>
      </c>
      <c r="W111" s="824"/>
    </row>
    <row r="112" spans="9:23" ht="15" thickTop="1" x14ac:dyDescent="0.35">
      <c r="V112" s="594">
        <f>+'MSCOA - Tariff Structure'!R136</f>
        <v>0</v>
      </c>
      <c r="W112" s="594">
        <f>+V112/12</f>
        <v>0</v>
      </c>
    </row>
    <row r="114" spans="9:23" ht="15.5" x14ac:dyDescent="0.35">
      <c r="I114" s="640" t="s">
        <v>1901</v>
      </c>
    </row>
    <row r="115" spans="9:23" x14ac:dyDescent="0.35">
      <c r="I115" s="599" t="s">
        <v>295</v>
      </c>
      <c r="J115" s="599">
        <v>420537328.89573163</v>
      </c>
      <c r="K115" s="599">
        <v>397560064.08300245</v>
      </c>
      <c r="L115" s="599">
        <v>370401240.23860872</v>
      </c>
      <c r="M115" s="599">
        <v>318685779.3605026</v>
      </c>
      <c r="N115" s="599">
        <v>311220756.04715389</v>
      </c>
      <c r="O115" s="599">
        <v>309285773.93158895</v>
      </c>
      <c r="P115" s="599">
        <v>297835501.74179316</v>
      </c>
      <c r="Q115" s="599">
        <v>240218628.89179283</v>
      </c>
      <c r="R115" s="599">
        <v>252065513.58686152</v>
      </c>
      <c r="S115" s="599">
        <v>184113635.37111217</v>
      </c>
      <c r="T115" s="599">
        <v>277583857.30541426</v>
      </c>
      <c r="U115" s="599">
        <v>374095629.30029166</v>
      </c>
      <c r="V115" s="888">
        <f>SUM(J115:U115)</f>
        <v>3753603708.7538543</v>
      </c>
    </row>
    <row r="116" spans="9:23" x14ac:dyDescent="0.35">
      <c r="I116" s="599" t="s">
        <v>296</v>
      </c>
      <c r="J116" s="625">
        <v>189795709.27431667</v>
      </c>
      <c r="K116" s="625">
        <v>177664749.05172038</v>
      </c>
      <c r="L116" s="625">
        <v>162348419.41890281</v>
      </c>
      <c r="M116" s="625">
        <v>162981204.42793798</v>
      </c>
      <c r="N116" s="625">
        <v>162401182.8195186</v>
      </c>
      <c r="O116" s="625">
        <v>164469281.05595544</v>
      </c>
      <c r="P116" s="625">
        <v>155274557.91682261</v>
      </c>
      <c r="Q116" s="625">
        <v>98299553.412633374</v>
      </c>
      <c r="R116" s="625">
        <v>102499734.00842243</v>
      </c>
      <c r="S116" s="625">
        <v>103361969.38960215</v>
      </c>
      <c r="T116" s="625">
        <v>175954675.02154425</v>
      </c>
      <c r="U116" s="625">
        <v>218655164.63414642</v>
      </c>
      <c r="V116" s="670">
        <f>SUM(J116:U116)</f>
        <v>1873706200.4315231</v>
      </c>
    </row>
    <row r="117" spans="9:23" x14ac:dyDescent="0.35">
      <c r="I117" s="599" t="s">
        <v>297</v>
      </c>
      <c r="J117" s="626">
        <v>230741619.62141496</v>
      </c>
      <c r="K117" s="626">
        <v>219895315.03128207</v>
      </c>
      <c r="L117" s="626">
        <v>208052820.8197059</v>
      </c>
      <c r="M117" s="626">
        <v>155704574.93256459</v>
      </c>
      <c r="N117" s="626">
        <v>148819573.22763529</v>
      </c>
      <c r="O117" s="626">
        <v>144816492.87563351</v>
      </c>
      <c r="P117" s="626">
        <v>142560943.82497051</v>
      </c>
      <c r="Q117" s="626">
        <v>141919075.47915947</v>
      </c>
      <c r="R117" s="626">
        <v>149565779.57843909</v>
      </c>
      <c r="S117" s="626">
        <v>80751665.981510013</v>
      </c>
      <c r="T117" s="626">
        <v>101629182.28387</v>
      </c>
      <c r="U117" s="626">
        <v>155440464.66614524</v>
      </c>
      <c r="V117" s="671">
        <f>SUM(J117:U117)</f>
        <v>1879897508.3223307</v>
      </c>
    </row>
    <row r="118" spans="9:23" x14ac:dyDescent="0.35">
      <c r="I118" s="599" t="s">
        <v>298</v>
      </c>
      <c r="J118" s="599">
        <v>3277850.8269912167</v>
      </c>
      <c r="K118" s="599">
        <v>3206308.6408058545</v>
      </c>
      <c r="L118" s="599">
        <v>2540742.8130498929</v>
      </c>
      <c r="M118" s="599">
        <v>2531770.5734737227</v>
      </c>
      <c r="N118" s="599">
        <v>2529283.2199278539</v>
      </c>
      <c r="O118" s="599">
        <v>2525019.1852777931</v>
      </c>
      <c r="P118" s="599">
        <v>2524397.3468913254</v>
      </c>
      <c r="Q118" s="599">
        <v>2528483.7134309676</v>
      </c>
      <c r="R118" s="599">
        <v>2528483.7134309676</v>
      </c>
      <c r="S118" s="599">
        <v>2530260.3945351597</v>
      </c>
      <c r="T118" s="599">
        <v>2524752.683112164</v>
      </c>
      <c r="U118" s="599">
        <v>3211160.8710991833</v>
      </c>
      <c r="V118" s="889">
        <f>SUM(J118:U118)</f>
        <v>32458513.9820261</v>
      </c>
    </row>
    <row r="119" spans="9:23" ht="16" thickBot="1" x14ac:dyDescent="0.4">
      <c r="I119" s="588" t="s">
        <v>295</v>
      </c>
      <c r="J119" s="600">
        <v>423815179.72272283</v>
      </c>
      <c r="K119" s="600">
        <v>311032262.4018563</v>
      </c>
      <c r="L119" s="600">
        <v>225510992.37519026</v>
      </c>
      <c r="M119" s="600">
        <v>230662146.40053257</v>
      </c>
      <c r="N119" s="600">
        <v>222922453.6584309</v>
      </c>
      <c r="O119" s="600">
        <v>228941128.37371519</v>
      </c>
      <c r="P119" s="600">
        <v>220578507.05558565</v>
      </c>
      <c r="Q119" s="600">
        <v>228007322.84770188</v>
      </c>
      <c r="R119" s="600">
        <v>219368370.08243343</v>
      </c>
      <c r="S119" s="600">
        <v>212544135.36012834</v>
      </c>
      <c r="T119" s="600">
        <v>230929335.16652182</v>
      </c>
      <c r="U119" s="600">
        <v>305966983.23778534</v>
      </c>
      <c r="V119" s="713">
        <f>V118+V115</f>
        <v>3786062222.7358804</v>
      </c>
      <c r="W119" s="824">
        <v>-3830878490.9175</v>
      </c>
    </row>
    <row r="120" spans="9:23" ht="15" thickTop="1" x14ac:dyDescent="0.35">
      <c r="W120" s="594">
        <f>V119+W119</f>
        <v>-44816268.181619644</v>
      </c>
    </row>
    <row r="122" spans="9:23" ht="15.5" x14ac:dyDescent="0.35">
      <c r="I122" s="640" t="s">
        <v>1630</v>
      </c>
    </row>
    <row r="123" spans="9:23" x14ac:dyDescent="0.35">
      <c r="I123" s="641" t="s">
        <v>295</v>
      </c>
      <c r="J123" s="641">
        <v>446778858.21882528</v>
      </c>
      <c r="K123" s="641">
        <v>422367812.0817818</v>
      </c>
      <c r="L123" s="641">
        <v>393514277.62949789</v>
      </c>
      <c r="M123" s="641">
        <v>338571771.99259794</v>
      </c>
      <c r="N123" s="641">
        <v>330640931.22449625</v>
      </c>
      <c r="O123" s="641">
        <v>328585206.22492009</v>
      </c>
      <c r="P123" s="641">
        <v>316420437.05048102</v>
      </c>
      <c r="Q123" s="641">
        <v>255208271.33464071</v>
      </c>
      <c r="R123" s="641">
        <v>267794401.6346817</v>
      </c>
      <c r="S123" s="641">
        <v>195602326.21826959</v>
      </c>
      <c r="T123" s="641">
        <v>294905090.00127208</v>
      </c>
      <c r="U123" s="641">
        <v>397439196.56862986</v>
      </c>
      <c r="V123" s="641">
        <f>SUM(J123:U123)</f>
        <v>3987828580.1800942</v>
      </c>
    </row>
    <row r="124" spans="9:23" x14ac:dyDescent="0.35">
      <c r="I124" s="641" t="s">
        <v>296</v>
      </c>
      <c r="J124" s="643">
        <v>201638961.53303403</v>
      </c>
      <c r="K124" s="644">
        <v>188751029.39254773</v>
      </c>
      <c r="L124" s="644">
        <v>172478960.79064235</v>
      </c>
      <c r="M124" s="644">
        <v>173151231.58424133</v>
      </c>
      <c r="N124" s="644">
        <v>172535016.62745655</v>
      </c>
      <c r="O124" s="644">
        <v>174732164.19384706</v>
      </c>
      <c r="P124" s="644">
        <v>164963690.33083233</v>
      </c>
      <c r="Q124" s="644">
        <v>104433445.5455817</v>
      </c>
      <c r="R124" s="644">
        <v>108895717.410548</v>
      </c>
      <c r="S124" s="644">
        <v>109811756.27951333</v>
      </c>
      <c r="T124" s="644">
        <v>186934246.7428886</v>
      </c>
      <c r="U124" s="644">
        <v>232299246.90731716</v>
      </c>
      <c r="V124" s="645">
        <f>SUM(J124:U124)</f>
        <v>1990625467.33845</v>
      </c>
    </row>
    <row r="125" spans="9:23" x14ac:dyDescent="0.35">
      <c r="I125" s="641" t="s">
        <v>297</v>
      </c>
      <c r="J125" s="646">
        <v>245139896.68579125</v>
      </c>
      <c r="K125" s="647">
        <v>233616782.68923408</v>
      </c>
      <c r="L125" s="647">
        <v>221035316.83885556</v>
      </c>
      <c r="M125" s="647">
        <v>165420540.40835661</v>
      </c>
      <c r="N125" s="647">
        <v>158105914.59703973</v>
      </c>
      <c r="O125" s="647">
        <v>153853042.03107303</v>
      </c>
      <c r="P125" s="647">
        <v>151456746.71964869</v>
      </c>
      <c r="Q125" s="647">
        <v>150774825.78905901</v>
      </c>
      <c r="R125" s="647">
        <v>158898684.2241337</v>
      </c>
      <c r="S125" s="647">
        <v>85790569.938756242</v>
      </c>
      <c r="T125" s="647">
        <v>107970843.25838348</v>
      </c>
      <c r="U125" s="647">
        <v>165139949.6613127</v>
      </c>
      <c r="V125" s="648">
        <f>SUM(J125:U125)</f>
        <v>1997203112.8416438</v>
      </c>
    </row>
    <row r="126" spans="9:23" x14ac:dyDescent="0.35">
      <c r="I126" s="641" t="s">
        <v>298</v>
      </c>
      <c r="J126" s="641">
        <v>3482388.7185954689</v>
      </c>
      <c r="K126" s="641">
        <v>3406382.2999921399</v>
      </c>
      <c r="L126" s="641">
        <v>2699285.1645842064</v>
      </c>
      <c r="M126" s="641">
        <v>2689753.057258483</v>
      </c>
      <c r="N126" s="641">
        <v>2687110.4928513519</v>
      </c>
      <c r="O126" s="641">
        <v>2682580.3824391272</v>
      </c>
      <c r="P126" s="641">
        <v>2681919.7413373441</v>
      </c>
      <c r="Q126" s="641">
        <v>2686261.0971490601</v>
      </c>
      <c r="R126" s="641">
        <v>2686261.0971490601</v>
      </c>
      <c r="S126" s="641">
        <v>2688148.6431541536</v>
      </c>
      <c r="T126" s="641">
        <v>2682297.2505383631</v>
      </c>
      <c r="U126" s="641">
        <v>3411537.3094557724</v>
      </c>
      <c r="V126" s="890">
        <f>SUM(J126:U126)</f>
        <v>34483925.254504532</v>
      </c>
    </row>
    <row r="127" spans="9:23" ht="15" thickBot="1" x14ac:dyDescent="0.4">
      <c r="I127" s="588" t="s">
        <v>295</v>
      </c>
      <c r="J127" s="600">
        <v>450261246.93742073</v>
      </c>
      <c r="K127" s="600">
        <v>311032262.4018563</v>
      </c>
      <c r="L127" s="600">
        <v>225510992.37519026</v>
      </c>
      <c r="M127" s="600">
        <v>230662146.40053257</v>
      </c>
      <c r="N127" s="600">
        <v>222922453.6584309</v>
      </c>
      <c r="O127" s="600">
        <v>228941128.37371519</v>
      </c>
      <c r="P127" s="600">
        <v>220578507.05558565</v>
      </c>
      <c r="Q127" s="600">
        <v>228007322.84770188</v>
      </c>
      <c r="R127" s="600">
        <v>219368370.08243343</v>
      </c>
      <c r="S127" s="600">
        <v>212544135.36012834</v>
      </c>
      <c r="T127" s="600">
        <v>230929335.16652182</v>
      </c>
      <c r="U127" s="600">
        <v>305966983.23778534</v>
      </c>
      <c r="V127" s="600">
        <f>V126+V123</f>
        <v>4022312505.4345989</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A7F5C-FB30-4455-97CC-3ED4B4AE65F3}">
  <sheetPr>
    <tabColor rgb="FF00FF00"/>
  </sheetPr>
  <dimension ref="A1:AB127"/>
  <sheetViews>
    <sheetView workbookViewId="0">
      <selection activeCell="I16" sqref="I16"/>
    </sheetView>
  </sheetViews>
  <sheetFormatPr defaultColWidth="8.6328125" defaultRowHeight="14.5" x14ac:dyDescent="0.35"/>
  <cols>
    <col min="1" max="1" width="19.36328125" style="245" customWidth="1"/>
    <col min="2" max="2" width="13.6328125" style="245" customWidth="1"/>
    <col min="3" max="3" width="56.54296875" style="245" hidden="1" customWidth="1"/>
    <col min="4" max="4" width="58" style="245" hidden="1" customWidth="1"/>
    <col min="5" max="5" width="56.54296875" style="245" hidden="1" customWidth="1"/>
    <col min="6" max="6" width="58.6328125" style="245" hidden="1" customWidth="1"/>
    <col min="7" max="7" width="21.6328125" style="245" hidden="1" customWidth="1"/>
    <col min="8" max="8" width="20.6328125" style="245" hidden="1" customWidth="1"/>
    <col min="9" max="9" width="15.36328125" style="588" bestFit="1" customWidth="1"/>
    <col min="10" max="21" width="14.90625" style="594" bestFit="1" customWidth="1"/>
    <col min="22" max="22" width="17.54296875" style="594" customWidth="1"/>
    <col min="23" max="23" width="19.453125" style="594" customWidth="1"/>
    <col min="24" max="24" width="14.453125" style="245" hidden="1" customWidth="1"/>
    <col min="25" max="25" width="8.6328125" style="245"/>
    <col min="26" max="26" width="15.6328125" style="245" bestFit="1" customWidth="1"/>
    <col min="27" max="27" width="14.36328125" style="245" bestFit="1" customWidth="1"/>
    <col min="28" max="28" width="15.453125" style="245" bestFit="1" customWidth="1"/>
    <col min="29" max="16384" width="8.6328125" style="245"/>
  </cols>
  <sheetData>
    <row r="1" spans="1:28" s="247" customFormat="1" x14ac:dyDescent="0.35">
      <c r="A1" s="247" t="s">
        <v>531</v>
      </c>
      <c r="B1" s="247" t="s">
        <v>532</v>
      </c>
      <c r="C1" s="247" t="s">
        <v>548</v>
      </c>
      <c r="D1" s="247" t="s">
        <v>549</v>
      </c>
      <c r="E1" s="247" t="s">
        <v>548</v>
      </c>
      <c r="F1" s="247" t="s">
        <v>549</v>
      </c>
      <c r="G1" s="247" t="s">
        <v>1429</v>
      </c>
      <c r="H1" s="247" t="s">
        <v>1429</v>
      </c>
      <c r="I1" s="585" t="s">
        <v>282</v>
      </c>
      <c r="J1" s="585" t="s">
        <v>521</v>
      </c>
      <c r="K1" s="585" t="s">
        <v>522</v>
      </c>
      <c r="L1" s="585" t="s">
        <v>523</v>
      </c>
      <c r="M1" s="585" t="s">
        <v>524</v>
      </c>
      <c r="N1" s="585" t="s">
        <v>525</v>
      </c>
      <c r="O1" s="585" t="s">
        <v>526</v>
      </c>
      <c r="P1" s="585" t="s">
        <v>527</v>
      </c>
      <c r="Q1" s="585" t="s">
        <v>528</v>
      </c>
      <c r="R1" s="585" t="s">
        <v>540</v>
      </c>
      <c r="S1" s="585" t="s">
        <v>541</v>
      </c>
      <c r="T1" s="585" t="s">
        <v>529</v>
      </c>
      <c r="U1" s="585" t="s">
        <v>530</v>
      </c>
      <c r="V1" s="586" t="s">
        <v>281</v>
      </c>
      <c r="W1" s="586" t="s">
        <v>280</v>
      </c>
    </row>
    <row r="2" spans="1:28" x14ac:dyDescent="0.35">
      <c r="A2" s="247" t="s">
        <v>1520</v>
      </c>
      <c r="B2" s="245">
        <v>0.85</v>
      </c>
      <c r="I2" s="601">
        <f>SUM(I3:I5)</f>
        <v>98582318.631702632</v>
      </c>
      <c r="J2" s="602"/>
      <c r="K2" s="602"/>
      <c r="L2" s="602"/>
      <c r="M2" s="602"/>
      <c r="N2" s="602"/>
      <c r="O2" s="602"/>
      <c r="P2" s="602"/>
      <c r="Q2" s="602"/>
      <c r="R2" s="602"/>
      <c r="S2" s="602"/>
      <c r="T2" s="602"/>
      <c r="U2" s="602"/>
      <c r="V2" s="603"/>
      <c r="W2" s="603"/>
    </row>
    <row r="3" spans="1:28" x14ac:dyDescent="0.35">
      <c r="A3" s="312" t="s">
        <v>309</v>
      </c>
      <c r="B3" s="312" t="s">
        <v>307</v>
      </c>
      <c r="C3" s="312" t="s">
        <v>824</v>
      </c>
      <c r="D3" s="312" t="s">
        <v>825</v>
      </c>
      <c r="E3" s="245" t="s">
        <v>824</v>
      </c>
      <c r="F3" s="245" t="s">
        <v>825</v>
      </c>
      <c r="I3" s="723">
        <f>SUM(J3:U3)</f>
        <v>22499007.732530002</v>
      </c>
      <c r="J3" s="603">
        <f>$B$2*'Tariff Rand Values Old'!J3</f>
        <v>2271978.033084</v>
      </c>
      <c r="K3" s="603">
        <f>$B$2*'Tariff Rand Values Old'!K3</f>
        <v>2222366.0584</v>
      </c>
      <c r="L3" s="603">
        <f>$B$2*'Tariff Rand Values Old'!L3</f>
        <v>1761052.7938380002</v>
      </c>
      <c r="M3" s="603">
        <f>$B$2*'Tariff Rand Values Old'!M3</f>
        <v>1754892.4664379999</v>
      </c>
      <c r="N3" s="603">
        <f>$B$2*'Tariff Rand Values Old'!N3</f>
        <v>1753167.574766</v>
      </c>
      <c r="O3" s="603">
        <f>$B$2*'Tariff Rand Values Old'!O3</f>
        <v>1750210.6176140001</v>
      </c>
      <c r="P3" s="603">
        <f>$B$2*'Tariff Rand Values Old'!P3</f>
        <v>1749779.394696</v>
      </c>
      <c r="Q3" s="603">
        <f>$B$2*'Tariff Rand Values Old'!Q3</f>
        <v>1752613.1453</v>
      </c>
      <c r="R3" s="603">
        <f>$B$2*'Tariff Rand Values Old'!R3</f>
        <v>1752613.1453</v>
      </c>
      <c r="S3" s="603">
        <f>$B$2*'Tariff Rand Values Old'!S3</f>
        <v>1753845.2107800001</v>
      </c>
      <c r="T3" s="603">
        <f>$B$2*'Tariff Rand Values Old'!T3</f>
        <v>1750210.6176140001</v>
      </c>
      <c r="U3" s="603">
        <f>$B$2*'Tariff Rand Values Old'!U3</f>
        <v>2226278.6747000003</v>
      </c>
      <c r="V3" s="628">
        <f>SUM(L3:T3)</f>
        <v>15778384.966345999</v>
      </c>
      <c r="W3" s="628">
        <f>U3+J3+K3</f>
        <v>6720622.7661840003</v>
      </c>
      <c r="Z3" s="270">
        <f>V3+V7</f>
        <v>15785469.342855999</v>
      </c>
      <c r="AA3" s="270">
        <f>W3+W7</f>
        <v>6723361.5975940004</v>
      </c>
      <c r="AB3" s="382">
        <f>SUM(Z3:AA3)</f>
        <v>22508830.940449998</v>
      </c>
    </row>
    <row r="4" spans="1:28" x14ac:dyDescent="0.35">
      <c r="A4" s="312" t="s">
        <v>309</v>
      </c>
      <c r="B4" s="312" t="s">
        <v>307</v>
      </c>
      <c r="C4" s="312" t="s">
        <v>824</v>
      </c>
      <c r="D4" s="312" t="s">
        <v>825</v>
      </c>
      <c r="E4" s="245" t="s">
        <v>824</v>
      </c>
      <c r="F4" s="245" t="s">
        <v>825</v>
      </c>
      <c r="I4" s="604">
        <f>SUM(J4:U4)</f>
        <v>47843703.71570579</v>
      </c>
      <c r="J4" s="603">
        <f>$B$2*'Tariff Rand Values Old'!J4</f>
        <v>4936900.0271975994</v>
      </c>
      <c r="K4" s="603">
        <f>$B$2*'Tariff Rand Values Old'!K4</f>
        <v>2850471.5471231998</v>
      </c>
      <c r="L4" s="603">
        <f>$B$2*'Tariff Rand Values Old'!L4</f>
        <v>2974428.4822387197</v>
      </c>
      <c r="M4" s="603">
        <f>$B$2*'Tariff Rand Values Old'!M4</f>
        <v>2915463.7193561597</v>
      </c>
      <c r="N4" s="603">
        <f>$B$2*'Tariff Rand Values Old'!N4</f>
        <v>2457329.7205286394</v>
      </c>
      <c r="O4" s="603">
        <f>$B$2*'Tariff Rand Values Old'!O4</f>
        <v>4390027.8191370238</v>
      </c>
      <c r="P4" s="603">
        <f>$B$2*'Tariff Rand Values Old'!P4</f>
        <v>4076088.5176565759</v>
      </c>
      <c r="Q4" s="603">
        <f>$B$2*'Tariff Rand Values Old'!Q4</f>
        <v>4002110.3010816001</v>
      </c>
      <c r="R4" s="603">
        <f>$B$2*'Tariff Rand Values Old'!R4</f>
        <v>4476633.4463999998</v>
      </c>
      <c r="S4" s="603">
        <f>$B$2*'Tariff Rand Values Old'!S4</f>
        <v>4387571.6500761593</v>
      </c>
      <c r="T4" s="603">
        <f>$B$2*'Tariff Rand Values Old'!T4</f>
        <v>4607219.4534341125</v>
      </c>
      <c r="U4" s="603">
        <f>$B$2*'Tariff Rand Values Old'!U4</f>
        <v>5769459.0314759994</v>
      </c>
      <c r="V4" s="605">
        <f>SUM(L4:T4)</f>
        <v>34286873.109908991</v>
      </c>
      <c r="W4" s="605">
        <f>U4+J4+K4</f>
        <v>13556830.605796797</v>
      </c>
      <c r="X4" s="245">
        <f>+W4+V4+V5+W5+V8+V9+W8+W9</f>
        <v>76139963.683229014</v>
      </c>
    </row>
    <row r="5" spans="1:28" x14ac:dyDescent="0.35">
      <c r="A5" s="312" t="s">
        <v>309</v>
      </c>
      <c r="B5" s="312" t="s">
        <v>307</v>
      </c>
      <c r="C5" s="312" t="s">
        <v>824</v>
      </c>
      <c r="D5" s="312" t="s">
        <v>825</v>
      </c>
      <c r="I5" s="604">
        <f>SUM(J5:U5)</f>
        <v>28239607.183466833</v>
      </c>
      <c r="J5" s="603">
        <f>$B$2*'Tariff Rand Values Old'!J5</f>
        <v>4431858.5399457598</v>
      </c>
      <c r="K5" s="603">
        <f>$B$2*'Tariff Rand Values Old'!K5</f>
        <v>506697.94339199993</v>
      </c>
      <c r="L5" s="603">
        <f>$B$2*'Tariff Rand Values Old'!L5</f>
        <v>1620500.0266705542</v>
      </c>
      <c r="M5" s="603">
        <f>$B$2*'Tariff Rand Values Old'!M5</f>
        <v>1792727.8769609889</v>
      </c>
      <c r="N5" s="603">
        <f>$B$2*'Tariff Rand Values Old'!N5</f>
        <v>1784345.792327866</v>
      </c>
      <c r="O5" s="603">
        <f>$B$2*'Tariff Rand Values Old'!O5</f>
        <v>2567279.6965347803</v>
      </c>
      <c r="P5" s="603">
        <f>$B$2*'Tariff Rand Values Old'!P5</f>
        <v>2383678.254774096</v>
      </c>
      <c r="Q5" s="603">
        <f>$B$2*'Tariff Rand Values Old'!Q5</f>
        <v>2340704.15252476</v>
      </c>
      <c r="R5" s="603">
        <f>$B$2*'Tariff Rand Values Old'!R5</f>
        <v>2618147.3371976605</v>
      </c>
      <c r="S5" s="603">
        <f>$B$2*'Tariff Rand Values Old'!S5</f>
        <v>2565988.5016036443</v>
      </c>
      <c r="T5" s="603">
        <f>$B$2*'Tariff Rand Values Old'!T5</f>
        <v>2694372.7508186805</v>
      </c>
      <c r="U5" s="603">
        <f>$B$2*'Tariff Rand Values Old'!U5</f>
        <v>2933306.31071604</v>
      </c>
      <c r="V5" s="605">
        <f>SUM(L5:T5)</f>
        <v>20367744.389413029</v>
      </c>
      <c r="W5" s="605">
        <f>U5+J5+K5</f>
        <v>7871862.7940537995</v>
      </c>
    </row>
    <row r="6" spans="1:28" x14ac:dyDescent="0.35">
      <c r="A6" s="247" t="s">
        <v>1521</v>
      </c>
      <c r="I6" s="825">
        <f>SUM(I7:I9)</f>
        <v>66475.991976414633</v>
      </c>
      <c r="J6" s="602"/>
      <c r="K6" s="602"/>
      <c r="L6" s="602"/>
      <c r="M6" s="602"/>
      <c r="N6" s="602"/>
      <c r="O6" s="602"/>
      <c r="P6" s="602"/>
      <c r="Q6" s="602"/>
      <c r="R6" s="602"/>
      <c r="S6" s="602"/>
      <c r="T6" s="602"/>
      <c r="U6" s="602"/>
      <c r="V6" s="603">
        <f>V5+V4+V3</f>
        <v>70433002.465668023</v>
      </c>
      <c r="W6" s="603">
        <f>W5+W4+W3</f>
        <v>28149316.166034594</v>
      </c>
    </row>
    <row r="7" spans="1:28" x14ac:dyDescent="0.35">
      <c r="A7" s="312" t="s">
        <v>309</v>
      </c>
      <c r="B7" s="312" t="s">
        <v>307</v>
      </c>
      <c r="C7" s="312" t="s">
        <v>824</v>
      </c>
      <c r="D7" s="312" t="s">
        <v>825</v>
      </c>
      <c r="E7" s="245" t="s">
        <v>824</v>
      </c>
      <c r="F7" s="245" t="s">
        <v>825</v>
      </c>
      <c r="I7" s="604">
        <f>SUM(J7:U7)</f>
        <v>9823.2079200000007</v>
      </c>
      <c r="J7" s="603">
        <f>$B$2*'Tariff Rand Values Old'!J7</f>
        <v>1095.5325640000001</v>
      </c>
      <c r="K7" s="603">
        <f>$B$2*'Tariff Rand Values Old'!K7</f>
        <v>1095.5325640000001</v>
      </c>
      <c r="L7" s="603">
        <f>$B$2*'Tariff Rand Values Old'!L7</f>
        <v>862.44583599999999</v>
      </c>
      <c r="M7" s="603">
        <f>$B$2*'Tariff Rand Values Old'!M7</f>
        <v>800.84256200000004</v>
      </c>
      <c r="N7" s="603">
        <f>$B$2*'Tariff Rand Values Old'!N7</f>
        <v>800.84256200000004</v>
      </c>
      <c r="O7" s="603">
        <f>$B$2*'Tariff Rand Values Old'!O7</f>
        <v>800.84256200000004</v>
      </c>
      <c r="P7" s="603">
        <f>$B$2*'Tariff Rand Values Old'!P7</f>
        <v>800.84256200000004</v>
      </c>
      <c r="Q7" s="603">
        <f>$B$2*'Tariff Rand Values Old'!Q7</f>
        <v>800.84256200000004</v>
      </c>
      <c r="R7" s="603">
        <f>$B$2*'Tariff Rand Values Old'!R7</f>
        <v>800.84256200000004</v>
      </c>
      <c r="S7" s="603">
        <f>$B$2*'Tariff Rand Values Old'!S7</f>
        <v>800.84256200000004</v>
      </c>
      <c r="T7" s="603">
        <f>$B$2*'Tariff Rand Values Old'!T7</f>
        <v>616.03273999999999</v>
      </c>
      <c r="U7" s="603">
        <f>$B$2*'Tariff Rand Values Old'!U7</f>
        <v>547.76628200000005</v>
      </c>
      <c r="V7" s="628">
        <f>SUM(L7:T7)</f>
        <v>7084.3765099999991</v>
      </c>
      <c r="W7" s="628">
        <f>U7+J7+K7</f>
        <v>2738.8314100000002</v>
      </c>
      <c r="X7" s="245">
        <f>+W7+V7</f>
        <v>9823.2079199999989</v>
      </c>
    </row>
    <row r="8" spans="1:28" x14ac:dyDescent="0.35">
      <c r="A8" s="312" t="s">
        <v>309</v>
      </c>
      <c r="B8" s="312" t="s">
        <v>307</v>
      </c>
      <c r="C8" s="312" t="s">
        <v>824</v>
      </c>
      <c r="D8" s="312" t="s">
        <v>825</v>
      </c>
      <c r="E8" s="245" t="s">
        <v>824</v>
      </c>
      <c r="F8" s="245" t="s">
        <v>825</v>
      </c>
      <c r="I8" s="604">
        <f>SUM(J8:U8)</f>
        <v>30743.111988184606</v>
      </c>
      <c r="J8" s="603">
        <f>$B$2*'Tariff Rand Values Old'!J8</f>
        <v>4907.7548817230763</v>
      </c>
      <c r="K8" s="603">
        <f>$B$2*'Tariff Rand Values Old'!K8</f>
        <v>4892.6374849476915</v>
      </c>
      <c r="L8" s="603">
        <f>$B$2*'Tariff Rand Values Old'!L8</f>
        <v>2519.97485568</v>
      </c>
      <c r="M8" s="603">
        <f>$B$2*'Tariff Rand Values Old'!M8</f>
        <v>2264.6074380799996</v>
      </c>
      <c r="N8" s="603">
        <f>$B$2*'Tariff Rand Values Old'!N8</f>
        <v>2504.1086387200003</v>
      </c>
      <c r="O8" s="603">
        <f>$B$2*'Tariff Rand Values Old'!O8</f>
        <v>2264.6074380799996</v>
      </c>
      <c r="P8" s="603">
        <f>$B$2*'Tariff Rand Values Old'!P8</f>
        <v>2301.2570879999998</v>
      </c>
      <c r="Q8" s="603">
        <f>$B$2*'Tariff Rand Values Old'!Q8</f>
        <v>2250.1180416000002</v>
      </c>
      <c r="R8" s="603">
        <f>$B$2*'Tariff Rand Values Old'!R8</f>
        <v>2216.0253439999997</v>
      </c>
      <c r="S8" s="603">
        <f>$B$2*'Tariff Rand Values Old'!S8</f>
        <v>2181.9326464000001</v>
      </c>
      <c r="T8" s="603">
        <f>$B$2*'Tariff Rand Values Old'!T8</f>
        <v>1633.8269695999998</v>
      </c>
      <c r="U8" s="603">
        <f>$B$2*'Tariff Rand Values Old'!U8</f>
        <v>806.26116135384609</v>
      </c>
      <c r="V8" s="605">
        <f>SUM(L8:T8)</f>
        <v>20136.45846016</v>
      </c>
      <c r="W8" s="605">
        <f>U8+J8+K8</f>
        <v>10606.653528024613</v>
      </c>
      <c r="X8" s="245">
        <f>+V8+W8</f>
        <v>30743.111988184613</v>
      </c>
    </row>
    <row r="9" spans="1:28" x14ac:dyDescent="0.35">
      <c r="A9" s="312" t="s">
        <v>309</v>
      </c>
      <c r="B9" s="312" t="s">
        <v>307</v>
      </c>
      <c r="C9" s="312" t="s">
        <v>824</v>
      </c>
      <c r="D9" s="312" t="s">
        <v>825</v>
      </c>
      <c r="I9" s="604">
        <f>SUM(J9:U9)</f>
        <v>25909.672068230029</v>
      </c>
      <c r="J9" s="603">
        <f>$B$2*'Tariff Rand Values Old'!J9</f>
        <v>3884.3670508608002</v>
      </c>
      <c r="K9" s="603">
        <f>$B$2*'Tariff Rand Values Old'!K9</f>
        <v>3891.0278688959997</v>
      </c>
      <c r="L9" s="603">
        <f>$B$2*'Tariff Rand Values Old'!L9</f>
        <v>2304.6827484800001</v>
      </c>
      <c r="M9" s="603">
        <f>$B$2*'Tariff Rand Values Old'!M9</f>
        <v>2135.4102422640003</v>
      </c>
      <c r="N9" s="603">
        <f>$B$2*'Tariff Rand Values Old'!N9</f>
        <v>1837.66240892</v>
      </c>
      <c r="O9" s="603">
        <f>$B$2*'Tariff Rand Values Old'!O9</f>
        <v>1977.2317058000003</v>
      </c>
      <c r="P9" s="603">
        <f>$B$2*'Tariff Rand Values Old'!P9</f>
        <v>1744.616211</v>
      </c>
      <c r="Q9" s="603">
        <f>$B$2*'Tariff Rand Values Old'!Q9</f>
        <v>1465.47761724</v>
      </c>
      <c r="R9" s="603">
        <f>$B$2*'Tariff Rand Values Old'!R9</f>
        <v>2326.1549480000003</v>
      </c>
      <c r="S9" s="603">
        <f>$B$2*'Tariff Rand Values Old'!S9</f>
        <v>2326.1549480000003</v>
      </c>
      <c r="T9" s="603">
        <f>$B$2*'Tariff Rand Values Old'!T9</f>
        <v>1376.4230461538459</v>
      </c>
      <c r="U9" s="603">
        <f>$B$2*'Tariff Rand Values Old'!U9</f>
        <v>640.46327261538454</v>
      </c>
      <c r="V9" s="605">
        <f>SUM(L9:T9)</f>
        <v>17493.813875857846</v>
      </c>
      <c r="W9" s="605">
        <f>U9+J9+K9</f>
        <v>8415.8581923721831</v>
      </c>
      <c r="X9" s="245">
        <f>+V9+W9</f>
        <v>25909.672068230029</v>
      </c>
    </row>
    <row r="10" spans="1:28" x14ac:dyDescent="0.35">
      <c r="A10" s="247" t="s">
        <v>1484</v>
      </c>
      <c r="I10" s="601">
        <f>SUM(I11:I12)</f>
        <v>1356254532.0842674</v>
      </c>
      <c r="J10" s="602"/>
      <c r="K10" s="602">
        <f>1595593567.56-I10</f>
        <v>239339035.47573256</v>
      </c>
      <c r="L10" s="602"/>
      <c r="M10" s="602"/>
      <c r="N10" s="602"/>
      <c r="O10" s="602"/>
      <c r="P10" s="602"/>
      <c r="Q10" s="602"/>
      <c r="R10" s="602"/>
      <c r="S10" s="602"/>
      <c r="T10" s="602"/>
      <c r="U10" s="602"/>
      <c r="V10" s="838">
        <f>V9+V8+V7</f>
        <v>44714.648846017852</v>
      </c>
      <c r="W10" s="838">
        <f>W9+W8+W7</f>
        <v>21761.343130396795</v>
      </c>
      <c r="X10" s="245">
        <f>+X9+X8</f>
        <v>56652.784056414646</v>
      </c>
    </row>
    <row r="11" spans="1:28" x14ac:dyDescent="0.35">
      <c r="A11" s="312" t="s">
        <v>305</v>
      </c>
      <c r="B11" s="312" t="s">
        <v>252</v>
      </c>
      <c r="C11" s="312" t="s">
        <v>1042</v>
      </c>
      <c r="D11" s="312" t="s">
        <v>1045</v>
      </c>
      <c r="E11" s="245" t="s">
        <v>1042</v>
      </c>
      <c r="F11" s="245" t="s">
        <v>1045</v>
      </c>
      <c r="I11" s="604">
        <f>SUM(J11:U11)</f>
        <v>1023261239.2696131</v>
      </c>
      <c r="J11" s="603">
        <f>$B$2*'Tariff Rand Values Old'!J11</f>
        <v>106897730.133248</v>
      </c>
      <c r="K11" s="603">
        <f>$B$2*'Tariff Rand Values Old'!K11</f>
        <v>104673453.35025235</v>
      </c>
      <c r="L11" s="603">
        <f>$B$2*'Tariff Rand Values Old'!L11</f>
        <v>97610127.32069245</v>
      </c>
      <c r="M11" s="603">
        <f>$B$2*'Tariff Rand Values Old'!M11</f>
        <v>98192391.305776447</v>
      </c>
      <c r="N11" s="603">
        <f>$B$2*'Tariff Rand Values Old'!N11</f>
        <v>98502415.636006489</v>
      </c>
      <c r="O11" s="603">
        <f>$B$2*'Tariff Rand Values Old'!O11</f>
        <v>96238282.284024</v>
      </c>
      <c r="P11" s="603">
        <f>$B$2*'Tariff Rand Values Old'!P11</f>
        <v>91966476.840856507</v>
      </c>
      <c r="Q11" s="603">
        <f>$B$2*'Tariff Rand Values Old'!Q11</f>
        <v>44249658.530575953</v>
      </c>
      <c r="R11" s="603">
        <f>$B$2*'Tariff Rand Values Old'!R11</f>
        <v>44392508.991891518</v>
      </c>
      <c r="S11" s="603">
        <f>$B$2*'Tariff Rand Values Old'!S11</f>
        <v>43216293.578454904</v>
      </c>
      <c r="T11" s="603">
        <f>$B$2*'Tariff Rand Values Old'!T11</f>
        <v>99637675.824663997</v>
      </c>
      <c r="U11" s="603">
        <f>$B$2*'Tariff Rand Values Old'!U11</f>
        <v>97684225.473170504</v>
      </c>
      <c r="V11" s="605">
        <f>SUM(L11:T11)</f>
        <v>714005830.31294215</v>
      </c>
      <c r="W11" s="605">
        <f>U11+J11+K11</f>
        <v>309255408.95667082</v>
      </c>
    </row>
    <row r="12" spans="1:28" x14ac:dyDescent="0.35">
      <c r="A12" s="312" t="s">
        <v>305</v>
      </c>
      <c r="B12" s="312" t="s">
        <v>252</v>
      </c>
      <c r="C12" s="312" t="s">
        <v>1042</v>
      </c>
      <c r="D12" s="312" t="s">
        <v>1045</v>
      </c>
      <c r="E12" s="245" t="s">
        <v>1042</v>
      </c>
      <c r="F12" s="245" t="s">
        <v>1045</v>
      </c>
      <c r="I12" s="604">
        <f>SUM(J12:U12)</f>
        <v>332993292.81465423</v>
      </c>
      <c r="J12" s="603">
        <f>$B$2*'Tariff Rand Values Old'!J12</f>
        <v>30674234.847469494</v>
      </c>
      <c r="K12" s="603">
        <f>$B$2*'Tariff Rand Values Old'!K12</f>
        <v>30219630.324379601</v>
      </c>
      <c r="L12" s="603">
        <f>$B$2*'Tariff Rand Values Old'!L12</f>
        <v>23664925.944963347</v>
      </c>
      <c r="M12" s="603">
        <f>$B$2*'Tariff Rand Values Old'!M12</f>
        <v>22780492.35391704</v>
      </c>
      <c r="N12" s="603">
        <f>$B$2*'Tariff Rand Values Old'!N12</f>
        <v>22817987.384407997</v>
      </c>
      <c r="O12" s="603">
        <f>$B$2*'Tariff Rand Values Old'!O12</f>
        <v>22566742.210114799</v>
      </c>
      <c r="P12" s="603">
        <f>$B$2*'Tariff Rand Values Old'!P12</f>
        <v>21365291.864380848</v>
      </c>
      <c r="Q12" s="603">
        <f>$B$2*'Tariff Rand Values Old'!Q12</f>
        <v>20162133.688937038</v>
      </c>
      <c r="R12" s="603">
        <f>$B$2*'Tariff Rand Values Old'!R12</f>
        <v>22684410.956496</v>
      </c>
      <c r="S12" s="603">
        <f>$B$2*'Tariff Rand Values Old'!S12</f>
        <v>24330916.041119996</v>
      </c>
      <c r="T12" s="603">
        <f>$B$2*'Tariff Rand Values Old'!T12</f>
        <v>28085078.975039996</v>
      </c>
      <c r="U12" s="603">
        <f>$B$2*'Tariff Rand Values Old'!U12</f>
        <v>63641448.223428048</v>
      </c>
      <c r="V12" s="605">
        <f>SUM(L12:T12)</f>
        <v>208457979.41937706</v>
      </c>
      <c r="W12" s="605">
        <f>U12+J12+K12</f>
        <v>124535313.39527714</v>
      </c>
    </row>
    <row r="13" spans="1:28" x14ac:dyDescent="0.35">
      <c r="A13" s="247" t="s">
        <v>1483</v>
      </c>
      <c r="I13" s="601">
        <f>SUM(I14:I15)</f>
        <v>52139838.487834997</v>
      </c>
      <c r="J13" s="611"/>
      <c r="K13" s="611"/>
      <c r="L13" s="611"/>
      <c r="M13" s="637"/>
      <c r="N13" s="637"/>
      <c r="O13" s="637"/>
      <c r="P13" s="611"/>
      <c r="Q13" s="611"/>
      <c r="R13" s="611"/>
      <c r="S13" s="611"/>
      <c r="T13" s="611"/>
      <c r="U13" s="611"/>
      <c r="V13" s="611">
        <f>+V12+V11</f>
        <v>922463809.73231924</v>
      </c>
      <c r="W13" s="611">
        <f>+W12+W11</f>
        <v>433790722.35194796</v>
      </c>
    </row>
    <row r="14" spans="1:28" x14ac:dyDescent="0.35">
      <c r="A14" s="312" t="s">
        <v>305</v>
      </c>
      <c r="B14" s="312" t="s">
        <v>252</v>
      </c>
      <c r="C14" s="312" t="s">
        <v>1042</v>
      </c>
      <c r="D14" s="312" t="s">
        <v>1045</v>
      </c>
      <c r="I14" s="604">
        <f>SUM(J14:U14)</f>
        <v>12957060.367608001</v>
      </c>
      <c r="J14" s="603">
        <f>$B$2*'Tariff Rand Values Old'!J14</f>
        <v>1400906.139738</v>
      </c>
      <c r="K14" s="603">
        <f>$B$2*'Tariff Rand Values Old'!K14</f>
        <v>1400906.139738</v>
      </c>
      <c r="L14" s="603">
        <f>$B$2*'Tariff Rand Values Old'!L14</f>
        <v>1036329.844564</v>
      </c>
      <c r="M14" s="603">
        <f>$B$2*'Tariff Rand Values Old'!M14</f>
        <v>1036329.844564</v>
      </c>
      <c r="N14" s="603">
        <f>$B$2*'Tariff Rand Values Old'!N14</f>
        <v>1036329.844564</v>
      </c>
      <c r="O14" s="603">
        <f>$B$2*'Tariff Rand Values Old'!O14</f>
        <v>995407.53480000002</v>
      </c>
      <c r="P14" s="603">
        <f>$B$2*'Tariff Rand Values Old'!P14</f>
        <v>995407.53480000002</v>
      </c>
      <c r="Q14" s="603">
        <f>$B$2*'Tariff Rand Values Old'!Q14</f>
        <v>984347.45108000003</v>
      </c>
      <c r="R14" s="603">
        <f>$B$2*'Tariff Rand Values Old'!R14</f>
        <v>984347.45108000003</v>
      </c>
      <c r="S14" s="603">
        <f>$B$2*'Tariff Rand Values Old'!S14</f>
        <v>984347.45108000003</v>
      </c>
      <c r="T14" s="603">
        <f>$B$2*'Tariff Rand Values Old'!T14</f>
        <v>940107.11619999993</v>
      </c>
      <c r="U14" s="603">
        <f>$B$2*'Tariff Rand Values Old'!U14</f>
        <v>1162294.0153999999</v>
      </c>
      <c r="V14" s="605">
        <f>SUM(L14:T14)</f>
        <v>8992954.0727319997</v>
      </c>
      <c r="W14" s="605">
        <f>U14+J14+K14</f>
        <v>3964106.2948759999</v>
      </c>
    </row>
    <row r="15" spans="1:28" x14ac:dyDescent="0.35">
      <c r="A15" s="312" t="s">
        <v>305</v>
      </c>
      <c r="B15" s="312" t="s">
        <v>252</v>
      </c>
      <c r="C15" s="312" t="s">
        <v>1042</v>
      </c>
      <c r="D15" s="312" t="s">
        <v>1045</v>
      </c>
      <c r="I15" s="604">
        <f>SUM(J15:U15)</f>
        <v>39182778.120226994</v>
      </c>
      <c r="J15" s="603">
        <f>$B$2*'Tariff Rand Values Old'!J15</f>
        <v>4419360.8972603995</v>
      </c>
      <c r="K15" s="603">
        <f>$B$2*'Tariff Rand Values Old'!K15</f>
        <v>2419964.3242910518</v>
      </c>
      <c r="L15" s="603">
        <f>$B$2*'Tariff Rand Values Old'!L15</f>
        <v>4591063.9927876797</v>
      </c>
      <c r="M15" s="603">
        <f>$B$2*'Tariff Rand Values Old'!M15</f>
        <v>4554622.6360020386</v>
      </c>
      <c r="N15" s="603">
        <f>$B$2*'Tariff Rand Values Old'!N15</f>
        <v>3575936.3288574475</v>
      </c>
      <c r="O15" s="603">
        <f>$B$2*'Tariff Rand Values Old'!O15</f>
        <v>3817721.0218420802</v>
      </c>
      <c r="P15" s="603">
        <f>$B$2*'Tariff Rand Values Old'!P15</f>
        <v>4342329.7203427199</v>
      </c>
      <c r="Q15" s="603">
        <f>$B$2*'Tariff Rand Values Old'!Q15</f>
        <v>1878315.7073103839</v>
      </c>
      <c r="R15" s="603">
        <f>$B$2*'Tariff Rand Values Old'!R15</f>
        <v>2375567.539587792</v>
      </c>
      <c r="S15" s="603">
        <f>$B$2*'Tariff Rand Values Old'!S15</f>
        <v>2338356.4517080798</v>
      </c>
      <c r="T15" s="603">
        <f>$B$2*'Tariff Rand Values Old'!T15</f>
        <v>1602093.59250096</v>
      </c>
      <c r="U15" s="603">
        <f>$B$2*'Tariff Rand Values Old'!U15</f>
        <v>3267445.9077363592</v>
      </c>
      <c r="V15" s="605">
        <f>SUM(L15:T15)</f>
        <v>29076006.990939181</v>
      </c>
      <c r="W15" s="605">
        <f>U15+J15+K15</f>
        <v>10106771.129287811</v>
      </c>
    </row>
    <row r="16" spans="1:28" x14ac:dyDescent="0.35">
      <c r="A16" s="247" t="s">
        <v>537</v>
      </c>
      <c r="I16" s="601">
        <f>SUM(I17:I20)</f>
        <v>420235.52954191418</v>
      </c>
      <c r="J16" s="602"/>
      <c r="K16" s="602"/>
      <c r="L16" s="602"/>
      <c r="M16" s="602"/>
      <c r="N16" s="602"/>
      <c r="O16" s="602"/>
      <c r="P16" s="602"/>
      <c r="Q16" s="602"/>
      <c r="R16" s="602"/>
      <c r="S16" s="602"/>
      <c r="T16" s="602"/>
      <c r="U16" s="602"/>
      <c r="V16" s="603">
        <f>+V15+V14</f>
        <v>38068961.063671179</v>
      </c>
      <c r="W16" s="603">
        <f>+W15+W14</f>
        <v>14070877.424163811</v>
      </c>
    </row>
    <row r="17" spans="1:26" x14ac:dyDescent="0.35">
      <c r="A17" s="311" t="s">
        <v>371</v>
      </c>
      <c r="B17" s="311" t="s">
        <v>371</v>
      </c>
      <c r="C17" s="311" t="s">
        <v>838</v>
      </c>
      <c r="D17" s="311" t="s">
        <v>838</v>
      </c>
      <c r="E17" s="245" t="s">
        <v>839</v>
      </c>
      <c r="F17" s="245" t="s">
        <v>839</v>
      </c>
      <c r="I17" s="604">
        <f>SUM(J17:U17)</f>
        <v>185342.40904573814</v>
      </c>
      <c r="J17" s="603">
        <f>$B$2*'Tariff Rand Values Old'!J17</f>
        <v>15445.20075381151</v>
      </c>
      <c r="K17" s="603">
        <f>$B$2*'Tariff Rand Values Old'!K17</f>
        <v>15445.20075381151</v>
      </c>
      <c r="L17" s="603">
        <f>$B$2*'Tariff Rand Values Old'!L17</f>
        <v>15445.20075381151</v>
      </c>
      <c r="M17" s="603">
        <f>$B$2*'Tariff Rand Values Old'!M17</f>
        <v>15445.20075381151</v>
      </c>
      <c r="N17" s="603">
        <f>$B$2*'Tariff Rand Values Old'!N17</f>
        <v>15445.20075381151</v>
      </c>
      <c r="O17" s="603">
        <f>$B$2*'Tariff Rand Values Old'!O17</f>
        <v>15445.20075381151</v>
      </c>
      <c r="P17" s="603">
        <f>$B$2*'Tariff Rand Values Old'!P17</f>
        <v>15445.20075381151</v>
      </c>
      <c r="Q17" s="603">
        <f>$B$2*'Tariff Rand Values Old'!Q17</f>
        <v>15445.20075381151</v>
      </c>
      <c r="R17" s="603">
        <f>$B$2*'Tariff Rand Values Old'!R17</f>
        <v>15445.20075381151</v>
      </c>
      <c r="S17" s="603">
        <f>$B$2*'Tariff Rand Values Old'!S17</f>
        <v>15445.20075381151</v>
      </c>
      <c r="T17" s="603">
        <f>$B$2*'Tariff Rand Values Old'!T17</f>
        <v>15445.20075381151</v>
      </c>
      <c r="U17" s="603">
        <f>$B$2*'Tariff Rand Values Old'!U17</f>
        <v>15445.20075381151</v>
      </c>
      <c r="V17" s="605">
        <f>SUM(L17:T17)</f>
        <v>139006.8067843036</v>
      </c>
      <c r="W17" s="605">
        <f>U17+J17+K17</f>
        <v>46335.602261434527</v>
      </c>
      <c r="X17" s="245">
        <f>+V21+W21</f>
        <v>420235.52954191412</v>
      </c>
    </row>
    <row r="18" spans="1:26" x14ac:dyDescent="0.35">
      <c r="A18" s="311" t="s">
        <v>381</v>
      </c>
      <c r="B18" s="311" t="s">
        <v>375</v>
      </c>
      <c r="C18" s="311" t="s">
        <v>834</v>
      </c>
      <c r="D18" s="311" t="s">
        <v>836</v>
      </c>
      <c r="E18" s="245" t="s">
        <v>827</v>
      </c>
      <c r="F18" s="245" t="s">
        <v>830</v>
      </c>
      <c r="I18" s="604">
        <f>SUM(J18:U18)</f>
        <v>60366.055113724797</v>
      </c>
      <c r="J18" s="603">
        <f>$B$2*'Tariff Rand Values Old'!J18</f>
        <v>6705.7092241919991</v>
      </c>
      <c r="K18" s="603">
        <f>$B$2*'Tariff Rand Values Old'!K18</f>
        <v>3294.1220159231993</v>
      </c>
      <c r="L18" s="603">
        <f>$B$2*'Tariff Rand Values Old'!L18</f>
        <v>1460.2562286719999</v>
      </c>
      <c r="M18" s="603">
        <f>$B$2*'Tariff Rand Values Old'!M18</f>
        <v>1285.7635168704001</v>
      </c>
      <c r="N18" s="603">
        <f>$B$2*'Tariff Rand Values Old'!N18</f>
        <v>1413.3382487616</v>
      </c>
      <c r="O18" s="603">
        <f>$B$2*'Tariff Rand Values Old'!O18</f>
        <v>1028.9007560688001</v>
      </c>
      <c r="P18" s="603">
        <f>$B$2*'Tariff Rand Values Old'!P18</f>
        <v>1139.0789336112002</v>
      </c>
      <c r="Q18" s="603">
        <f>$B$2*'Tariff Rand Values Old'!Q18</f>
        <v>4340.3524486400001</v>
      </c>
      <c r="R18" s="603">
        <f>$B$2*'Tariff Rand Values Old'!R18</f>
        <v>4844.0617722848001</v>
      </c>
      <c r="S18" s="603">
        <f>$B$2*'Tariff Rand Values Old'!S18</f>
        <v>4865.7635345280005</v>
      </c>
      <c r="T18" s="603">
        <f>$B$2*'Tariff Rand Values Old'!T18</f>
        <v>5639.0315891935998</v>
      </c>
      <c r="U18" s="603">
        <f>$B$2*'Tariff Rand Values Old'!U18</f>
        <v>24349.676844979196</v>
      </c>
      <c r="V18" s="605">
        <f>SUM(L18:T18)</f>
        <v>26016.547028630401</v>
      </c>
      <c r="W18" s="605">
        <f>U18+J18+K18</f>
        <v>34349.508085094392</v>
      </c>
    </row>
    <row r="19" spans="1:26" x14ac:dyDescent="0.35">
      <c r="A19" s="311" t="s">
        <v>383</v>
      </c>
      <c r="B19" s="311" t="s">
        <v>377</v>
      </c>
      <c r="C19" s="311" t="s">
        <v>832</v>
      </c>
      <c r="D19" s="311" t="s">
        <v>835</v>
      </c>
      <c r="E19" s="245" t="s">
        <v>826</v>
      </c>
      <c r="F19" s="245" t="s">
        <v>829</v>
      </c>
      <c r="I19" s="604">
        <f>SUM(J19:U19)</f>
        <v>78808.237931796801</v>
      </c>
      <c r="J19" s="603">
        <f>$B$2*'Tariff Rand Values Old'!J19</f>
        <v>6251.1480944639989</v>
      </c>
      <c r="K19" s="603">
        <f>$B$2*'Tariff Rand Values Old'!K19</f>
        <v>3188.8085898239997</v>
      </c>
      <c r="L19" s="603">
        <f>$B$2*'Tariff Rand Values Old'!L19</f>
        <v>2268.5324810399998</v>
      </c>
      <c r="M19" s="603">
        <f>$B$2*'Tariff Rand Values Old'!M19</f>
        <v>2144.9740670400001</v>
      </c>
      <c r="N19" s="603">
        <f>$B$2*'Tariff Rand Values Old'!N19</f>
        <v>2273.7713577936001</v>
      </c>
      <c r="O19" s="603">
        <f>$B$2*'Tariff Rand Values Old'!O19</f>
        <v>1601.1193519776</v>
      </c>
      <c r="P19" s="603">
        <f>$B$2*'Tariff Rand Values Old'!P19</f>
        <v>1721.2181303855998</v>
      </c>
      <c r="Q19" s="603">
        <f>$B$2*'Tariff Rand Values Old'!Q19</f>
        <v>7924.2129511999992</v>
      </c>
      <c r="R19" s="603">
        <f>$B$2*'Tariff Rand Values Old'!R19</f>
        <v>8481.0495369599994</v>
      </c>
      <c r="S19" s="603">
        <f>$B$2*'Tariff Rand Values Old'!S19</f>
        <v>7985.4649756336003</v>
      </c>
      <c r="T19" s="603">
        <f>$B$2*'Tariff Rand Values Old'!T19</f>
        <v>10460.817767254399</v>
      </c>
      <c r="U19" s="603">
        <f>$B$2*'Tariff Rand Values Old'!U19</f>
        <v>24507.120628224002</v>
      </c>
      <c r="V19" s="605">
        <f>SUM(L19:T19)</f>
        <v>44861.160619284798</v>
      </c>
      <c r="W19" s="605">
        <f>U19+J19+K19</f>
        <v>33947.077312512003</v>
      </c>
    </row>
    <row r="20" spans="1:26" x14ac:dyDescent="0.35">
      <c r="A20" s="311" t="s">
        <v>379</v>
      </c>
      <c r="B20" s="311" t="s">
        <v>373</v>
      </c>
      <c r="C20" s="311" t="s">
        <v>833</v>
      </c>
      <c r="D20" s="311" t="s">
        <v>837</v>
      </c>
      <c r="E20" s="245" t="s">
        <v>828</v>
      </c>
      <c r="F20" s="245" t="s">
        <v>831</v>
      </c>
      <c r="I20" s="604">
        <f>SUM(J20:U20)</f>
        <v>95718.827450654411</v>
      </c>
      <c r="J20" s="603">
        <f>$B$2*'Tariff Rand Values Old'!J20</f>
        <v>8692.8981623352011</v>
      </c>
      <c r="K20" s="603">
        <f>$B$2*'Tariff Rand Values Old'!K20</f>
        <v>5408.9687013911989</v>
      </c>
      <c r="L20" s="603">
        <f>$B$2*'Tariff Rand Values Old'!L20</f>
        <v>2590.1584506816002</v>
      </c>
      <c r="M20" s="603">
        <f>$B$2*'Tariff Rand Values Old'!M20</f>
        <v>2550.6165940800001</v>
      </c>
      <c r="N20" s="603">
        <f>$B$2*'Tariff Rand Values Old'!N20</f>
        <v>2624.8618522559996</v>
      </c>
      <c r="O20" s="603">
        <f>$B$2*'Tariff Rand Values Old'!O20</f>
        <v>2423.4820171584001</v>
      </c>
      <c r="P20" s="603">
        <f>$B$2*'Tariff Rand Values Old'!P20</f>
        <v>2358.329717568</v>
      </c>
      <c r="Q20" s="603">
        <f>$B$2*'Tariff Rand Values Old'!Q20</f>
        <v>9818.1706954240017</v>
      </c>
      <c r="R20" s="603">
        <f>$B$2*'Tariff Rand Values Old'!R20</f>
        <v>10157.974835840001</v>
      </c>
      <c r="S20" s="603">
        <f>$B$2*'Tariff Rand Values Old'!S20</f>
        <v>9783.1058000831981</v>
      </c>
      <c r="T20" s="603">
        <f>$B$2*'Tariff Rand Values Old'!T20</f>
        <v>11239.564184908801</v>
      </c>
      <c r="U20" s="603">
        <f>$B$2*'Tariff Rand Values Old'!U20</f>
        <v>28070.696438928</v>
      </c>
      <c r="V20" s="605">
        <f>SUM(L20:T20)</f>
        <v>53546.264148000002</v>
      </c>
      <c r="W20" s="605">
        <f>U20+J20+K20</f>
        <v>42172.563302654402</v>
      </c>
    </row>
    <row r="21" spans="1:26" x14ac:dyDescent="0.35">
      <c r="A21" s="247" t="s">
        <v>536</v>
      </c>
      <c r="B21" s="247"/>
      <c r="C21" s="247"/>
      <c r="D21" s="247"/>
      <c r="E21" s="247"/>
      <c r="F21" s="247"/>
      <c r="G21" s="247"/>
      <c r="H21" s="247"/>
      <c r="I21" s="601">
        <f>SUM(I22:I25)</f>
        <v>26317768.137957074</v>
      </c>
      <c r="J21" s="607"/>
      <c r="K21" s="607"/>
      <c r="L21" s="607"/>
      <c r="M21" s="607"/>
      <c r="N21" s="607"/>
      <c r="O21" s="607"/>
      <c r="P21" s="607"/>
      <c r="Q21" s="607"/>
      <c r="R21" s="607"/>
      <c r="S21" s="607"/>
      <c r="T21" s="607"/>
      <c r="U21" s="607"/>
      <c r="V21" s="603">
        <f>+V20+V19+V18+V17</f>
        <v>263430.77858021879</v>
      </c>
      <c r="W21" s="603">
        <f>+W20+W19+W18+W17</f>
        <v>156804.75096169533</v>
      </c>
    </row>
    <row r="22" spans="1:26" x14ac:dyDescent="0.35">
      <c r="A22" s="312" t="s">
        <v>368</v>
      </c>
      <c r="B22" s="312" t="s">
        <v>368</v>
      </c>
      <c r="C22" s="312" t="s">
        <v>839</v>
      </c>
      <c r="D22" s="312" t="s">
        <v>839</v>
      </c>
      <c r="F22" s="245" t="s">
        <v>838</v>
      </c>
      <c r="I22" s="604">
        <f>SUM(J22:U22)</f>
        <v>1308356.3185246466</v>
      </c>
      <c r="J22" s="603">
        <f>$B$2*'Tariff Rand Values Old'!J22</f>
        <v>109029.69321038724</v>
      </c>
      <c r="K22" s="603">
        <f>$B$2*'Tariff Rand Values Old'!K22</f>
        <v>109029.69321038724</v>
      </c>
      <c r="L22" s="603">
        <f>$B$2*'Tariff Rand Values Old'!L22</f>
        <v>109029.69321038724</v>
      </c>
      <c r="M22" s="603">
        <f>$B$2*'Tariff Rand Values Old'!M22</f>
        <v>109029.69321038724</v>
      </c>
      <c r="N22" s="603">
        <f>$B$2*'Tariff Rand Values Old'!N22</f>
        <v>109029.69321038724</v>
      </c>
      <c r="O22" s="603">
        <f>$B$2*'Tariff Rand Values Old'!O22</f>
        <v>109029.69321038724</v>
      </c>
      <c r="P22" s="603">
        <f>$B$2*'Tariff Rand Values Old'!P22</f>
        <v>109029.69321038724</v>
      </c>
      <c r="Q22" s="603">
        <f>$B$2*'Tariff Rand Values Old'!Q22</f>
        <v>109029.69321038724</v>
      </c>
      <c r="R22" s="603">
        <f>$B$2*'Tariff Rand Values Old'!R22</f>
        <v>109029.69321038724</v>
      </c>
      <c r="S22" s="603">
        <f>$B$2*'Tariff Rand Values Old'!S22</f>
        <v>109029.69321038724</v>
      </c>
      <c r="T22" s="603">
        <f>$B$2*'Tariff Rand Values Old'!T22</f>
        <v>109029.69321038724</v>
      </c>
      <c r="U22" s="603">
        <f>$B$2*'Tariff Rand Values Old'!U22</f>
        <v>109029.69321038724</v>
      </c>
      <c r="V22" s="605">
        <f>SUM(L22:T22)</f>
        <v>981267.23889348516</v>
      </c>
      <c r="W22" s="605">
        <f>U22+J22+K22</f>
        <v>327089.0796311617</v>
      </c>
    </row>
    <row r="23" spans="1:26" x14ac:dyDescent="0.35">
      <c r="A23" s="312" t="s">
        <v>364</v>
      </c>
      <c r="B23" s="312" t="s">
        <v>358</v>
      </c>
      <c r="C23" s="312" t="s">
        <v>827</v>
      </c>
      <c r="D23" s="312" t="s">
        <v>830</v>
      </c>
      <c r="F23" s="245" t="s">
        <v>836</v>
      </c>
      <c r="I23" s="604">
        <f>SUM(J23:U23)</f>
        <v>6821635.3453233605</v>
      </c>
      <c r="J23" s="603">
        <f>$B$2*'Tariff Rand Values Old'!J23</f>
        <v>1100785.9759015678</v>
      </c>
      <c r="K23" s="603">
        <f>$B$2*'Tariff Rand Values Old'!K23</f>
        <v>1085667.5908151038</v>
      </c>
      <c r="L23" s="603">
        <f>$B$2*'Tariff Rand Values Old'!L23</f>
        <v>502398.95893996162</v>
      </c>
      <c r="M23" s="603">
        <f>$B$2*'Tariff Rand Values Old'!M23</f>
        <v>426220.89715942886</v>
      </c>
      <c r="N23" s="603">
        <f>$B$2*'Tariff Rand Values Old'!N23</f>
        <v>404665.99522225925</v>
      </c>
      <c r="O23" s="603">
        <f>$B$2*'Tariff Rand Values Old'!O23</f>
        <v>314102.03733189608</v>
      </c>
      <c r="P23" s="603">
        <f>$B$2*'Tariff Rand Values Old'!P23</f>
        <v>333692.62227120646</v>
      </c>
      <c r="Q23" s="603">
        <f>$B$2*'Tariff Rand Values Old'!Q23</f>
        <v>354832.20343864476</v>
      </c>
      <c r="R23" s="603">
        <f>$B$2*'Tariff Rand Values Old'!R23</f>
        <v>373041.87098048005</v>
      </c>
      <c r="S23" s="603">
        <f>$B$2*'Tariff Rand Values Old'!S23</f>
        <v>382410.09122008004</v>
      </c>
      <c r="T23" s="603">
        <f>$B$2*'Tariff Rand Values Old'!T23</f>
        <v>475745.26310830639</v>
      </c>
      <c r="U23" s="603">
        <f>$B$2*'Tariff Rand Values Old'!U23</f>
        <v>1068071.8389344253</v>
      </c>
      <c r="V23" s="605">
        <f>SUM(L23:T23)</f>
        <v>3567109.9396722638</v>
      </c>
      <c r="W23" s="605">
        <f>U23+J23+K23</f>
        <v>3254525.4056510972</v>
      </c>
    </row>
    <row r="24" spans="1:26" x14ac:dyDescent="0.35">
      <c r="A24" s="312" t="s">
        <v>366</v>
      </c>
      <c r="B24" s="312" t="s">
        <v>360</v>
      </c>
      <c r="C24" s="312" t="s">
        <v>826</v>
      </c>
      <c r="D24" s="312" t="s">
        <v>829</v>
      </c>
      <c r="F24" s="245" t="s">
        <v>835</v>
      </c>
      <c r="I24" s="604">
        <f>SUM(J24:U24)</f>
        <v>9476910.3177767452</v>
      </c>
      <c r="J24" s="603">
        <f>$B$2*'Tariff Rand Values Old'!J24</f>
        <v>1278534.5252159999</v>
      </c>
      <c r="K24" s="603">
        <f>$B$2*'Tariff Rand Values Old'!K24</f>
        <v>1237444.1013242877</v>
      </c>
      <c r="L24" s="603">
        <f>$B$2*'Tariff Rand Values Old'!L24</f>
        <v>783461.77798066649</v>
      </c>
      <c r="M24" s="603">
        <f>$B$2*'Tariff Rand Values Old'!M24</f>
        <v>698834.31380833837</v>
      </c>
      <c r="N24" s="603">
        <f>$B$2*'Tariff Rand Values Old'!N24</f>
        <v>669832.50165525114</v>
      </c>
      <c r="O24" s="603">
        <f>$B$2*'Tariff Rand Values Old'!O24</f>
        <v>535451.24373497674</v>
      </c>
      <c r="P24" s="603">
        <f>$B$2*'Tariff Rand Values Old'!P24</f>
        <v>574798.09118417278</v>
      </c>
      <c r="Q24" s="603">
        <f>$B$2*'Tariff Rand Values Old'!Q24</f>
        <v>549369.95080197998</v>
      </c>
      <c r="R24" s="603">
        <f>$B$2*'Tariff Rand Values Old'!R24</f>
        <v>581072.88168074877</v>
      </c>
      <c r="S24" s="603">
        <f>$B$2*'Tariff Rand Values Old'!S24</f>
        <v>583488.95938255999</v>
      </c>
      <c r="T24" s="603">
        <f>$B$2*'Tariff Rand Values Old'!T24</f>
        <v>690599.54090216325</v>
      </c>
      <c r="U24" s="603">
        <f>$B$2*'Tariff Rand Values Old'!U24</f>
        <v>1294022.4301055998</v>
      </c>
      <c r="V24" s="605">
        <f>SUM(L24:T24)</f>
        <v>5666909.2611308573</v>
      </c>
      <c r="W24" s="605">
        <f>U24+J24+K24</f>
        <v>3810001.0566458874</v>
      </c>
      <c r="Z24" s="245">
        <f>3578510707.1-'MSCOA - Tariff Structure'!Q6</f>
        <v>272273904.16000032</v>
      </c>
    </row>
    <row r="25" spans="1:26" x14ac:dyDescent="0.35">
      <c r="A25" s="312" t="s">
        <v>362</v>
      </c>
      <c r="B25" s="312" t="s">
        <v>356</v>
      </c>
      <c r="C25" s="312" t="s">
        <v>828</v>
      </c>
      <c r="D25" s="312" t="s">
        <v>831</v>
      </c>
      <c r="F25" s="245" t="s">
        <v>837</v>
      </c>
      <c r="I25" s="604">
        <f>SUM(J25:U25)</f>
        <v>8710866.1563323196</v>
      </c>
      <c r="J25" s="603">
        <f>$B$2*'Tariff Rand Values Old'!J25</f>
        <v>1138914.8044906498</v>
      </c>
      <c r="K25" s="603">
        <f>$B$2*'Tariff Rand Values Old'!K25</f>
        <v>1198915.5216743099</v>
      </c>
      <c r="L25" s="603">
        <f>$B$2*'Tariff Rand Values Old'!L25</f>
        <v>625920.43626002874</v>
      </c>
      <c r="M25" s="603">
        <f>$B$2*'Tariff Rand Values Old'!M25</f>
        <v>632217.5742490784</v>
      </c>
      <c r="N25" s="603">
        <f>$B$2*'Tariff Rand Values Old'!N25</f>
        <v>561671.30103776639</v>
      </c>
      <c r="O25" s="603">
        <f>$B$2*'Tariff Rand Values Old'!O25</f>
        <v>547050.21293310076</v>
      </c>
      <c r="P25" s="603">
        <f>$B$2*'Tariff Rand Values Old'!P25</f>
        <v>567108.19509163522</v>
      </c>
      <c r="Q25" s="603">
        <f>$B$2*'Tariff Rand Values Old'!Q25</f>
        <v>585498.63431297918</v>
      </c>
      <c r="R25" s="603">
        <f>$B$2*'Tariff Rand Values Old'!R25</f>
        <v>566655.38243840006</v>
      </c>
      <c r="S25" s="603">
        <f>$B$2*'Tariff Rand Values Old'!S25</f>
        <v>579848.8899487328</v>
      </c>
      <c r="T25" s="603">
        <f>$B$2*'Tariff Rand Values Old'!T25</f>
        <v>618169.91258316801</v>
      </c>
      <c r="U25" s="603">
        <f>$B$2*'Tariff Rand Values Old'!U25</f>
        <v>1088895.2913124706</v>
      </c>
      <c r="V25" s="605">
        <f>SUM(L25:T25)</f>
        <v>5284140.5388548896</v>
      </c>
      <c r="W25" s="605">
        <f>U25+J25+K25</f>
        <v>3426725.61747743</v>
      </c>
      <c r="Z25" s="245">
        <f>Z24/2</f>
        <v>136136952.08000016</v>
      </c>
    </row>
    <row r="26" spans="1:26" x14ac:dyDescent="0.35">
      <c r="A26" s="247" t="s">
        <v>545</v>
      </c>
      <c r="I26" s="601">
        <f>+I27</f>
        <v>70639140.521567792</v>
      </c>
      <c r="J26" s="602"/>
      <c r="K26" s="602"/>
      <c r="L26" s="602"/>
      <c r="M26" s="602"/>
      <c r="N26" s="602"/>
      <c r="O26" s="602"/>
      <c r="P26" s="602"/>
      <c r="Q26" s="602"/>
      <c r="R26" s="602"/>
      <c r="S26" s="602"/>
      <c r="T26" s="602"/>
      <c r="U26" s="602"/>
      <c r="V26" s="603">
        <f>+V25+V24+V23+V22</f>
        <v>15499426.978551496</v>
      </c>
      <c r="W26" s="603">
        <f>+W25+W24+W23+W22</f>
        <v>10818341.159405574</v>
      </c>
      <c r="X26" s="245">
        <f>+V26+W26</f>
        <v>26317768.13795707</v>
      </c>
    </row>
    <row r="27" spans="1:26" x14ac:dyDescent="0.35">
      <c r="A27" s="309" t="s">
        <v>313</v>
      </c>
      <c r="B27" s="309" t="s">
        <v>311</v>
      </c>
      <c r="C27" s="309" t="s">
        <v>510</v>
      </c>
      <c r="D27" s="309" t="s">
        <v>514</v>
      </c>
      <c r="E27" s="245" t="s">
        <v>510</v>
      </c>
      <c r="F27" s="245" t="s">
        <v>514</v>
      </c>
      <c r="I27" s="604">
        <f>SUM(J27:U27)</f>
        <v>70639140.521567792</v>
      </c>
      <c r="J27" s="603">
        <f>$B$2*'Tariff Rand Values Old'!J27</f>
        <v>6038403.9331200002</v>
      </c>
      <c r="K27" s="603">
        <f>$B$2*'Tariff Rand Values Old'!K27</f>
        <v>5908336.6966092</v>
      </c>
      <c r="L27" s="603">
        <f>$B$2*'Tariff Rand Values Old'!L27</f>
        <v>5459289.0931799999</v>
      </c>
      <c r="M27" s="603">
        <f>$B$2*'Tariff Rand Values Old'!M27</f>
        <v>5810973.1137900008</v>
      </c>
      <c r="N27" s="603">
        <f>$B$2*'Tariff Rand Values Old'!N27</f>
        <v>5676013.3967096834</v>
      </c>
      <c r="O27" s="603">
        <f>$B$2*'Tariff Rand Values Old'!O27</f>
        <v>6151495.7017799998</v>
      </c>
      <c r="P27" s="603">
        <f>$B$2*'Tariff Rand Values Old'!P27</f>
        <v>5287668.6261788998</v>
      </c>
      <c r="Q27" s="603">
        <f>$B$2*'Tariff Rand Values Old'!Q27</f>
        <v>5645405.86974</v>
      </c>
      <c r="R27" s="603">
        <f>$B$2*'Tariff Rand Values Old'!R27</f>
        <v>5634882.7470000004</v>
      </c>
      <c r="S27" s="603">
        <f>$B$2*'Tariff Rand Values Old'!S27</f>
        <v>5852874.5613000002</v>
      </c>
      <c r="T27" s="603">
        <f>$B$2*'Tariff Rand Values Old'!T27</f>
        <v>6356190.8919599997</v>
      </c>
      <c r="U27" s="603">
        <f>$B$2*'Tariff Rand Values Old'!U27</f>
        <v>6817605.8902000003</v>
      </c>
      <c r="V27" s="609">
        <f>SUM(L27:T27)</f>
        <v>51874794.001638591</v>
      </c>
      <c r="W27" s="609">
        <f>U27+J27+K27</f>
        <v>18764346.5199292</v>
      </c>
    </row>
    <row r="28" spans="1:26" x14ac:dyDescent="0.35">
      <c r="A28" s="247" t="s">
        <v>546</v>
      </c>
      <c r="I28" s="601">
        <f>+I29</f>
        <v>22418305.912825003</v>
      </c>
      <c r="J28" s="602"/>
      <c r="K28" s="602"/>
      <c r="L28" s="602"/>
      <c r="M28" s="602"/>
      <c r="N28" s="602"/>
      <c r="O28" s="602"/>
      <c r="P28" s="602"/>
      <c r="Q28" s="602"/>
      <c r="R28" s="602"/>
      <c r="S28" s="602"/>
      <c r="T28" s="602"/>
      <c r="U28" s="602"/>
      <c r="V28" s="603">
        <f>+V27</f>
        <v>51874794.001638591</v>
      </c>
      <c r="W28" s="603">
        <f>+W27</f>
        <v>18764346.5199292</v>
      </c>
      <c r="X28" s="245">
        <f>+W28+V28</f>
        <v>70639140.521567792</v>
      </c>
    </row>
    <row r="29" spans="1:26" x14ac:dyDescent="0.35">
      <c r="A29" s="309" t="s">
        <v>313</v>
      </c>
      <c r="B29" s="309" t="s">
        <v>311</v>
      </c>
      <c r="C29" s="309" t="s">
        <v>510</v>
      </c>
      <c r="D29" s="309" t="s">
        <v>514</v>
      </c>
      <c r="E29" s="245" t="s">
        <v>510</v>
      </c>
      <c r="F29" s="245" t="s">
        <v>514</v>
      </c>
      <c r="I29" s="604">
        <f>SUM(J29:U29)</f>
        <v>22418305.912825003</v>
      </c>
      <c r="J29" s="603">
        <f>$B$2*'Tariff Rand Values Old'!J29</f>
        <v>2815155.9913860001</v>
      </c>
      <c r="K29" s="603">
        <f>$B$2*'Tariff Rand Values Old'!K29</f>
        <v>3797266.5671999999</v>
      </c>
      <c r="L29" s="603">
        <f>$B$2*'Tariff Rand Values Old'!L29</f>
        <v>2435183.6581799998</v>
      </c>
      <c r="M29" s="603">
        <f>$B$2*'Tariff Rand Values Old'!M29</f>
        <v>1818544.8481200002</v>
      </c>
      <c r="N29" s="603">
        <f>$B$2*'Tariff Rand Values Old'!N29</f>
        <v>1937848.1112900001</v>
      </c>
      <c r="O29" s="603">
        <f>$B$2*'Tariff Rand Values Old'!O29</f>
        <v>1492283.0917799999</v>
      </c>
      <c r="P29" s="603">
        <f>$B$2*'Tariff Rand Values Old'!P29</f>
        <v>1454233.9792500001</v>
      </c>
      <c r="Q29" s="603">
        <f>$B$2*'Tariff Rand Values Old'!Q29</f>
        <v>1091384.03088</v>
      </c>
      <c r="R29" s="603">
        <f>$B$2*'Tariff Rand Values Old'!R29</f>
        <v>837849.14459999988</v>
      </c>
      <c r="S29" s="603">
        <f>$B$2*'Tariff Rand Values Old'!S29</f>
        <v>527747.41655999993</v>
      </c>
      <c r="T29" s="603">
        <f>$B$2*'Tariff Rand Values Old'!T29</f>
        <v>345652.66651499999</v>
      </c>
      <c r="U29" s="603">
        <f>$B$2*'Tariff Rand Values Old'!U29</f>
        <v>3865156.4070640001</v>
      </c>
      <c r="V29" s="609">
        <f>SUM(L29:T29)</f>
        <v>11940726.947175002</v>
      </c>
      <c r="W29" s="609">
        <f>U29+J29+K29</f>
        <v>10477578.96565</v>
      </c>
    </row>
    <row r="30" spans="1:26" x14ac:dyDescent="0.35">
      <c r="A30" s="247" t="s">
        <v>539</v>
      </c>
      <c r="I30" s="601">
        <f>SUM(I31:I34)</f>
        <v>399272.42256888899</v>
      </c>
      <c r="J30" s="602"/>
      <c r="K30" s="602"/>
      <c r="L30" s="602"/>
      <c r="M30" s="602"/>
      <c r="N30" s="602"/>
      <c r="O30" s="602"/>
      <c r="P30" s="602"/>
      <c r="Q30" s="602"/>
      <c r="R30" s="602"/>
      <c r="S30" s="602"/>
      <c r="T30" s="602"/>
      <c r="U30" s="602"/>
      <c r="V30" s="603">
        <f>+V29</f>
        <v>11940726.947175002</v>
      </c>
      <c r="W30" s="603">
        <f>+W29</f>
        <v>10477578.96565</v>
      </c>
      <c r="X30" s="245">
        <f>+W30+V30</f>
        <v>22418305.912825003</v>
      </c>
    </row>
    <row r="31" spans="1:26" x14ac:dyDescent="0.35">
      <c r="A31" s="311" t="s">
        <v>401</v>
      </c>
      <c r="B31" s="311" t="s">
        <v>401</v>
      </c>
      <c r="C31" s="311" t="s">
        <v>875</v>
      </c>
      <c r="D31" s="311" t="s">
        <v>875</v>
      </c>
      <c r="E31" s="245" t="s">
        <v>876</v>
      </c>
      <c r="F31" s="245" t="s">
        <v>876</v>
      </c>
      <c r="I31" s="604">
        <f>SUM(J31:U31)</f>
        <v>180861.05731713903</v>
      </c>
      <c r="J31" s="603">
        <f>$B$2*'Tariff Rand Values Old'!J31</f>
        <v>15071.754776428255</v>
      </c>
      <c r="K31" s="603">
        <f>$B$2*'Tariff Rand Values Old'!K31</f>
        <v>15071.754776428255</v>
      </c>
      <c r="L31" s="603">
        <f>$B$2*'Tariff Rand Values Old'!L31</f>
        <v>15071.754776428255</v>
      </c>
      <c r="M31" s="603">
        <f>$B$2*'Tariff Rand Values Old'!M31</f>
        <v>15071.754776428255</v>
      </c>
      <c r="N31" s="603">
        <f>$B$2*'Tariff Rand Values Old'!N31</f>
        <v>15071.754776428255</v>
      </c>
      <c r="O31" s="603">
        <f>$B$2*'Tariff Rand Values Old'!O31</f>
        <v>15071.754776428255</v>
      </c>
      <c r="P31" s="603">
        <f>$B$2*'Tariff Rand Values Old'!P31</f>
        <v>15071.754776428255</v>
      </c>
      <c r="Q31" s="603">
        <f>$B$2*'Tariff Rand Values Old'!Q31</f>
        <v>15071.754776428255</v>
      </c>
      <c r="R31" s="603">
        <f>$B$2*'Tariff Rand Values Old'!R31</f>
        <v>15071.754776428255</v>
      </c>
      <c r="S31" s="603">
        <f>$B$2*'Tariff Rand Values Old'!S31</f>
        <v>15071.754776428255</v>
      </c>
      <c r="T31" s="603">
        <f>$B$2*'Tariff Rand Values Old'!T31</f>
        <v>15071.754776428255</v>
      </c>
      <c r="U31" s="603">
        <f>$B$2*'Tariff Rand Values Old'!U31</f>
        <v>15071.754776428255</v>
      </c>
      <c r="V31" s="605">
        <f>SUM(L31:T31)</f>
        <v>135645.79298785428</v>
      </c>
      <c r="W31" s="605">
        <f>U31+J31+K31</f>
        <v>45215.264329284764</v>
      </c>
    </row>
    <row r="32" spans="1:26" x14ac:dyDescent="0.35">
      <c r="A32" s="311" t="s">
        <v>403</v>
      </c>
      <c r="B32" s="311" t="s">
        <v>411</v>
      </c>
      <c r="C32" s="311" t="s">
        <v>871</v>
      </c>
      <c r="D32" s="311" t="s">
        <v>874</v>
      </c>
      <c r="E32" s="245" t="s">
        <v>864</v>
      </c>
      <c r="F32" s="245" t="s">
        <v>867</v>
      </c>
      <c r="I32" s="604">
        <f>SUM(J32:U32)</f>
        <v>57758.446725749993</v>
      </c>
      <c r="J32" s="603">
        <f>$B$2*'Tariff Rand Values Old'!J32</f>
        <v>5675.4208875000004</v>
      </c>
      <c r="K32" s="603">
        <f>$B$2*'Tariff Rand Values Old'!K32</f>
        <v>5673.216412499999</v>
      </c>
      <c r="L32" s="603">
        <f>$B$2*'Tariff Rand Values Old'!L32</f>
        <v>7866.6681959999987</v>
      </c>
      <c r="M32" s="603">
        <f>$B$2*'Tariff Rand Values Old'!M32</f>
        <v>4740.6009089999998</v>
      </c>
      <c r="N32" s="603">
        <f>$B$2*'Tariff Rand Values Old'!N32</f>
        <v>4388.095640999999</v>
      </c>
      <c r="O32" s="603">
        <f>$B$2*'Tariff Rand Values Old'!O32</f>
        <v>4035.218531999999</v>
      </c>
      <c r="P32" s="603">
        <f>$B$2*'Tariff Rand Values Old'!P32</f>
        <v>3781.6229699999994</v>
      </c>
      <c r="Q32" s="603">
        <f>$B$2*'Tariff Rand Values Old'!Q32</f>
        <v>3597.5616749999999</v>
      </c>
      <c r="R32" s="603">
        <f>$B$2*'Tariff Rand Values Old'!R32</f>
        <v>3568.5580769999997</v>
      </c>
      <c r="S32" s="603">
        <f>$B$2*'Tariff Rand Values Old'!S32</f>
        <v>3732.1681169999997</v>
      </c>
      <c r="T32" s="603">
        <f>$B$2*'Tariff Rand Values Old'!T32</f>
        <v>4449.0775650000005</v>
      </c>
      <c r="U32" s="603">
        <f>$B$2*'Tariff Rand Values Old'!U32</f>
        <v>6250.2377437499999</v>
      </c>
      <c r="V32" s="605">
        <f>SUM(L32:T32)</f>
        <v>40159.571682000002</v>
      </c>
      <c r="W32" s="605">
        <f>U32+J32+K32</f>
        <v>17598.875043749998</v>
      </c>
    </row>
    <row r="33" spans="1:24" x14ac:dyDescent="0.35">
      <c r="A33" s="311" t="s">
        <v>405</v>
      </c>
      <c r="B33" s="311" t="s">
        <v>413</v>
      </c>
      <c r="C33" s="311" t="s">
        <v>870</v>
      </c>
      <c r="D33" s="311" t="s">
        <v>873</v>
      </c>
      <c r="E33" s="245" t="s">
        <v>863</v>
      </c>
      <c r="F33" s="245" t="s">
        <v>866</v>
      </c>
      <c r="I33" s="604">
        <f>SUM(J33:U33)</f>
        <v>82410.435517500009</v>
      </c>
      <c r="J33" s="603">
        <f>$B$2*'Tariff Rand Values Old'!J33</f>
        <v>8445.1184324999995</v>
      </c>
      <c r="K33" s="603">
        <f>$B$2*'Tariff Rand Values Old'!K33</f>
        <v>8947.8963224999989</v>
      </c>
      <c r="L33" s="603">
        <f>$B$2*'Tariff Rand Values Old'!L33</f>
        <v>10288.782393749998</v>
      </c>
      <c r="M33" s="603">
        <f>$B$2*'Tariff Rand Values Old'!M33</f>
        <v>6808.6950750000005</v>
      </c>
      <c r="N33" s="603">
        <f>$B$2*'Tariff Rand Values Old'!N33</f>
        <v>6332.6757374999997</v>
      </c>
      <c r="O33" s="603">
        <f>$B$2*'Tariff Rand Values Old'!O33</f>
        <v>5785.2742499999995</v>
      </c>
      <c r="P33" s="603">
        <f>$B$2*'Tariff Rand Values Old'!P33</f>
        <v>5646.2450625000001</v>
      </c>
      <c r="Q33" s="603">
        <f>$B$2*'Tariff Rand Values Old'!Q33</f>
        <v>5405.3303062499999</v>
      </c>
      <c r="R33" s="603">
        <f>$B$2*'Tariff Rand Values Old'!R33</f>
        <v>5262.1509937499995</v>
      </c>
      <c r="S33" s="603">
        <f>$B$2*'Tariff Rand Values Old'!S33</f>
        <v>5041.1568374999988</v>
      </c>
      <c r="T33" s="603">
        <f>$B$2*'Tariff Rand Values Old'!T33</f>
        <v>5397.4450687500002</v>
      </c>
      <c r="U33" s="603">
        <f>$B$2*'Tariff Rand Values Old'!U33</f>
        <v>9049.665037499999</v>
      </c>
      <c r="V33" s="605">
        <f>SUM(L33:T33)</f>
        <v>55967.755724999995</v>
      </c>
      <c r="W33" s="605">
        <f>U33+J33+K33</f>
        <v>26442.679792499999</v>
      </c>
    </row>
    <row r="34" spans="1:24" x14ac:dyDescent="0.35">
      <c r="A34" s="311" t="s">
        <v>407</v>
      </c>
      <c r="B34" s="311" t="s">
        <v>409</v>
      </c>
      <c r="C34" s="311" t="s">
        <v>872</v>
      </c>
      <c r="D34" s="311" t="s">
        <v>869</v>
      </c>
      <c r="E34" s="245" t="s">
        <v>865</v>
      </c>
      <c r="F34" s="245" t="s">
        <v>868</v>
      </c>
      <c r="I34" s="604">
        <f>SUM(J34:U34)</f>
        <v>78242.483008499985</v>
      </c>
      <c r="J34" s="603">
        <f>$B$2*'Tariff Rand Values Old'!J34</f>
        <v>7596.9636337499996</v>
      </c>
      <c r="K34" s="603">
        <f>$B$2*'Tariff Rand Values Old'!K34</f>
        <v>9025.8309270000009</v>
      </c>
      <c r="L34" s="603">
        <f>$B$2*'Tariff Rand Values Old'!L34</f>
        <v>7684.2364912499997</v>
      </c>
      <c r="M34" s="603">
        <f>$B$2*'Tariff Rand Values Old'!M34</f>
        <v>6541.1810392500001</v>
      </c>
      <c r="N34" s="603">
        <f>$B$2*'Tariff Rand Values Old'!N34</f>
        <v>6464.7334290000008</v>
      </c>
      <c r="O34" s="603">
        <f>$B$2*'Tariff Rand Values Old'!O34</f>
        <v>6889.3353952499992</v>
      </c>
      <c r="P34" s="603">
        <f>$B$2*'Tariff Rand Values Old'!P34</f>
        <v>6342.8408917500001</v>
      </c>
      <c r="Q34" s="603">
        <f>$B$2*'Tariff Rand Values Old'!Q34</f>
        <v>4742.2551577499999</v>
      </c>
      <c r="R34" s="603">
        <f>$B$2*'Tariff Rand Values Old'!R34</f>
        <v>4814.0812500000002</v>
      </c>
      <c r="S34" s="603">
        <f>$B$2*'Tariff Rand Values Old'!S34</f>
        <v>5025.9008249999997</v>
      </c>
      <c r="T34" s="603">
        <f>$B$2*'Tariff Rand Values Old'!T34</f>
        <v>5391.7709999999997</v>
      </c>
      <c r="U34" s="603">
        <f>$B$2*'Tariff Rand Values Old'!U34</f>
        <v>7723.3529684999994</v>
      </c>
      <c r="V34" s="605">
        <f>SUM(L34:T34)</f>
        <v>53896.335479249996</v>
      </c>
      <c r="W34" s="605">
        <f>U34+J34+K34</f>
        <v>24346.14752925</v>
      </c>
    </row>
    <row r="35" spans="1:24" x14ac:dyDescent="0.35">
      <c r="A35" s="247" t="s">
        <v>538</v>
      </c>
      <c r="B35" s="248"/>
      <c r="C35" s="248"/>
      <c r="D35" s="248"/>
      <c r="E35" s="248"/>
      <c r="F35" s="248"/>
      <c r="G35" s="248"/>
      <c r="H35" s="248"/>
      <c r="I35" s="601">
        <f>SUM(I36:I39)</f>
        <v>59887526.905654147</v>
      </c>
      <c r="J35" s="607"/>
      <c r="K35" s="607"/>
      <c r="L35" s="607"/>
      <c r="M35" s="607"/>
      <c r="N35" s="607"/>
      <c r="O35" s="607"/>
      <c r="P35" s="607"/>
      <c r="Q35" s="607"/>
      <c r="R35" s="607"/>
      <c r="S35" s="607"/>
      <c r="T35" s="607"/>
      <c r="U35" s="607"/>
      <c r="V35" s="603">
        <f>+V34+V33+V32+V31</f>
        <v>285669.45587410429</v>
      </c>
      <c r="W35" s="603">
        <f>+W34+W33+W32+W31</f>
        <v>113602.96669478476</v>
      </c>
      <c r="X35" s="245">
        <f>+W35+V35</f>
        <v>399272.42256888904</v>
      </c>
    </row>
    <row r="36" spans="1:24" x14ac:dyDescent="0.35">
      <c r="A36" s="311" t="s">
        <v>392</v>
      </c>
      <c r="B36" s="311" t="s">
        <v>392</v>
      </c>
      <c r="C36" s="311" t="s">
        <v>876</v>
      </c>
      <c r="D36" s="311" t="s">
        <v>876</v>
      </c>
      <c r="E36" s="245" t="s">
        <v>875</v>
      </c>
      <c r="F36" s="245" t="s">
        <v>875</v>
      </c>
      <c r="I36" s="604">
        <f>SUM(J36:U36)</f>
        <v>8883091.9901048969</v>
      </c>
      <c r="J36" s="603">
        <f>$B$2*'Tariff Rand Values Old'!J36</f>
        <v>740257.66584207455</v>
      </c>
      <c r="K36" s="603">
        <f>$B$2*'Tariff Rand Values Old'!K36</f>
        <v>740257.66584207455</v>
      </c>
      <c r="L36" s="603">
        <f>$B$2*'Tariff Rand Values Old'!L36</f>
        <v>740257.66584207455</v>
      </c>
      <c r="M36" s="603">
        <f>$B$2*'Tariff Rand Values Old'!M36</f>
        <v>740257.66584207455</v>
      </c>
      <c r="N36" s="603">
        <f>$B$2*'Tariff Rand Values Old'!N36</f>
        <v>740257.66584207455</v>
      </c>
      <c r="O36" s="603">
        <f>$B$2*'Tariff Rand Values Old'!O36</f>
        <v>740257.66584207455</v>
      </c>
      <c r="P36" s="603">
        <f>$B$2*'Tariff Rand Values Old'!P36</f>
        <v>740257.66584207455</v>
      </c>
      <c r="Q36" s="603">
        <f>$B$2*'Tariff Rand Values Old'!Q36</f>
        <v>740257.66584207455</v>
      </c>
      <c r="R36" s="603">
        <f>$B$2*'Tariff Rand Values Old'!R36</f>
        <v>740257.66584207455</v>
      </c>
      <c r="S36" s="603">
        <f>$B$2*'Tariff Rand Values Old'!S36</f>
        <v>740257.66584207455</v>
      </c>
      <c r="T36" s="603">
        <f>$B$2*'Tariff Rand Values Old'!T36</f>
        <v>740257.66584207455</v>
      </c>
      <c r="U36" s="603">
        <f>$B$2*'Tariff Rand Values Old'!U36</f>
        <v>740257.66584207455</v>
      </c>
      <c r="V36" s="605">
        <f>SUM(L36:T36)</f>
        <v>6662318.9925786722</v>
      </c>
      <c r="W36" s="605">
        <f>U36+J36+K36</f>
        <v>2220772.9975262238</v>
      </c>
    </row>
    <row r="37" spans="1:24" x14ac:dyDescent="0.35">
      <c r="A37" s="311" t="s">
        <v>396</v>
      </c>
      <c r="B37" s="311" t="s">
        <v>388</v>
      </c>
      <c r="C37" s="311" t="s">
        <v>864</v>
      </c>
      <c r="D37" s="311" t="s">
        <v>867</v>
      </c>
      <c r="E37" s="245" t="s">
        <v>871</v>
      </c>
      <c r="F37" s="245" t="s">
        <v>874</v>
      </c>
      <c r="I37" s="604">
        <f>SUM(J37:U37)</f>
        <v>14187728.926329697</v>
      </c>
      <c r="J37" s="603">
        <f>$B$2*'Tariff Rand Values Old'!J37</f>
        <v>1752986.1749399998</v>
      </c>
      <c r="K37" s="603">
        <f>$B$2*'Tariff Rand Values Old'!K37</f>
        <v>1529085.5853000002</v>
      </c>
      <c r="L37" s="603">
        <f>$B$2*'Tariff Rand Values Old'!L37</f>
        <v>1014718.7888943999</v>
      </c>
      <c r="M37" s="603">
        <f>$B$2*'Tariff Rand Values Old'!M37</f>
        <v>1072602.5832612</v>
      </c>
      <c r="N37" s="603">
        <f>$B$2*'Tariff Rand Values Old'!N37</f>
        <v>1046136.0316148001</v>
      </c>
      <c r="O37" s="603">
        <f>$B$2*'Tariff Rand Values Old'!O37</f>
        <v>993479.87549879996</v>
      </c>
      <c r="P37" s="603">
        <f>$B$2*'Tariff Rand Values Old'!P37</f>
        <v>883104.97284119984</v>
      </c>
      <c r="Q37" s="603">
        <f>$B$2*'Tariff Rand Values Old'!Q37</f>
        <v>1057718.0855040001</v>
      </c>
      <c r="R37" s="603">
        <f>$B$2*'Tariff Rand Values Old'!R37</f>
        <v>1068627.3550771999</v>
      </c>
      <c r="S37" s="603">
        <f>$B$2*'Tariff Rand Values Old'!S37</f>
        <v>1040648.104664</v>
      </c>
      <c r="T37" s="603">
        <f>$B$2*'Tariff Rand Values Old'!T37</f>
        <v>1086488.7623016001</v>
      </c>
      <c r="U37" s="603">
        <f>$B$2*'Tariff Rand Values Old'!U37</f>
        <v>1642132.6064324998</v>
      </c>
      <c r="V37" s="605">
        <f>SUM(L37:T37)</f>
        <v>9263524.5596571993</v>
      </c>
      <c r="W37" s="605">
        <f>U37+J37+K37</f>
        <v>4924204.3666725</v>
      </c>
    </row>
    <row r="38" spans="1:24" x14ac:dyDescent="0.35">
      <c r="A38" s="311" t="s">
        <v>398</v>
      </c>
      <c r="B38" s="311" t="s">
        <v>390</v>
      </c>
      <c r="C38" s="311" t="s">
        <v>863</v>
      </c>
      <c r="D38" s="311" t="s">
        <v>866</v>
      </c>
      <c r="E38" s="245" t="s">
        <v>870</v>
      </c>
      <c r="F38" s="245" t="s">
        <v>873</v>
      </c>
      <c r="I38" s="604">
        <f>SUM(J38:U38)</f>
        <v>20908764.019526247</v>
      </c>
      <c r="J38" s="603">
        <f>$B$2*'Tariff Rand Values Old'!J38</f>
        <v>2615342.2102080001</v>
      </c>
      <c r="K38" s="603">
        <f>$B$2*'Tariff Rand Values Old'!K38</f>
        <v>2346033.3446159996</v>
      </c>
      <c r="L38" s="603">
        <f>$B$2*'Tariff Rand Values Old'!L38</f>
        <v>1447534.49379</v>
      </c>
      <c r="M38" s="603">
        <f>$B$2*'Tariff Rand Values Old'!M38</f>
        <v>1581566.7647849999</v>
      </c>
      <c r="N38" s="603">
        <f>$B$2*'Tariff Rand Values Old'!N38</f>
        <v>1526083.9649999999</v>
      </c>
      <c r="O38" s="603">
        <f>$B$2*'Tariff Rand Values Old'!O38</f>
        <v>1452718.3457587501</v>
      </c>
      <c r="P38" s="603">
        <f>$B$2*'Tariff Rand Values Old'!P38</f>
        <v>1322917.5007124997</v>
      </c>
      <c r="Q38" s="603">
        <f>$B$2*'Tariff Rand Values Old'!Q38</f>
        <v>1549087.8311999999</v>
      </c>
      <c r="R38" s="603">
        <f>$B$2*'Tariff Rand Values Old'!R38</f>
        <v>1406692.6433174999</v>
      </c>
      <c r="S38" s="603">
        <f>$B$2*'Tariff Rand Values Old'!S38</f>
        <v>1444960.8629399999</v>
      </c>
      <c r="T38" s="603">
        <f>$B$2*'Tariff Rand Values Old'!T38</f>
        <v>1594942.1473124998</v>
      </c>
      <c r="U38" s="603">
        <f>$B$2*'Tariff Rand Values Old'!U38</f>
        <v>2620883.9098859993</v>
      </c>
      <c r="V38" s="605">
        <f>SUM(L38:T38)</f>
        <v>13326504.55481625</v>
      </c>
      <c r="W38" s="605">
        <f>U38+J38+K38</f>
        <v>7582259.464709999</v>
      </c>
    </row>
    <row r="39" spans="1:24" x14ac:dyDescent="0.35">
      <c r="A39" s="311" t="s">
        <v>394</v>
      </c>
      <c r="B39" s="311" t="s">
        <v>386</v>
      </c>
      <c r="C39" s="311" t="s">
        <v>865</v>
      </c>
      <c r="D39" s="311" t="s">
        <v>868</v>
      </c>
      <c r="E39" s="245" t="s">
        <v>872</v>
      </c>
      <c r="F39" s="245" t="s">
        <v>869</v>
      </c>
      <c r="I39" s="604">
        <f>SUM(J39:U39)</f>
        <v>15907941.969693299</v>
      </c>
      <c r="J39" s="603">
        <f>$B$2*'Tariff Rand Values Old'!J39</f>
        <v>1497576.7898207998</v>
      </c>
      <c r="K39" s="603">
        <f>$B$2*'Tariff Rand Values Old'!K39</f>
        <v>1712457.0607872</v>
      </c>
      <c r="L39" s="603">
        <f>$B$2*'Tariff Rand Values Old'!L39</f>
        <v>1190240.2008013001</v>
      </c>
      <c r="M39" s="603">
        <f>$B$2*'Tariff Rand Values Old'!M39</f>
        <v>1199722.1436067999</v>
      </c>
      <c r="N39" s="603">
        <f>$B$2*'Tariff Rand Values Old'!N39</f>
        <v>1235859.3333548</v>
      </c>
      <c r="O39" s="603">
        <f>$B$2*'Tariff Rand Values Old'!O39</f>
        <v>1333183.1620140001</v>
      </c>
      <c r="P39" s="603">
        <f>$B$2*'Tariff Rand Values Old'!P39</f>
        <v>1219730.3639103</v>
      </c>
      <c r="Q39" s="603">
        <f>$B$2*'Tariff Rand Values Old'!Q39</f>
        <v>1174964.2352040999</v>
      </c>
      <c r="R39" s="603">
        <f>$B$2*'Tariff Rand Values Old'!R39</f>
        <v>1146604.1102713998</v>
      </c>
      <c r="S39" s="603">
        <f>$B$2*'Tariff Rand Values Old'!S39</f>
        <v>1258742.7283816</v>
      </c>
      <c r="T39" s="603">
        <f>$B$2*'Tariff Rand Values Old'!T39</f>
        <v>1231692.5213757998</v>
      </c>
      <c r="U39" s="603">
        <f>$B$2*'Tariff Rand Values Old'!U39</f>
        <v>1707169.3201651999</v>
      </c>
      <c r="V39" s="605">
        <f>SUM(L39:T39)</f>
        <v>10990738.798920099</v>
      </c>
      <c r="W39" s="605">
        <f>U39+J39+K39</f>
        <v>4917203.1707731998</v>
      </c>
    </row>
    <row r="40" spans="1:24" s="330" customFormat="1" x14ac:dyDescent="0.35">
      <c r="A40" s="329" t="s">
        <v>254</v>
      </c>
      <c r="I40" s="601">
        <f>SUM(I41:I46)</f>
        <v>104830769.71510206</v>
      </c>
      <c r="J40" s="610"/>
      <c r="K40" s="610"/>
      <c r="L40" s="610"/>
      <c r="M40" s="610"/>
      <c r="N40" s="610"/>
      <c r="O40" s="610"/>
      <c r="P40" s="610"/>
      <c r="Q40" s="610"/>
      <c r="R40" s="610"/>
      <c r="S40" s="610"/>
      <c r="T40" s="610"/>
      <c r="U40" s="610"/>
      <c r="V40" s="611">
        <f>+V39+V38+V37+V36</f>
        <v>40243086.90597222</v>
      </c>
      <c r="W40" s="611">
        <f>+W39+W38+W37+W36</f>
        <v>19644439.999681924</v>
      </c>
      <c r="X40" s="330">
        <f>+W40+V40</f>
        <v>59887526.905654147</v>
      </c>
    </row>
    <row r="41" spans="1:24" x14ac:dyDescent="0.35">
      <c r="A41" s="311" t="s">
        <v>256</v>
      </c>
      <c r="B41" s="311" t="s">
        <v>256</v>
      </c>
      <c r="C41" s="311" t="s">
        <v>862</v>
      </c>
      <c r="D41" s="328" t="s">
        <v>1382</v>
      </c>
      <c r="E41" s="245" t="s">
        <v>862</v>
      </c>
      <c r="F41" s="245" t="s">
        <v>862</v>
      </c>
      <c r="I41" s="604">
        <f t="shared" ref="I41:I46" si="0">SUM(J41:U41)</f>
        <v>163929.18688011388</v>
      </c>
      <c r="J41" s="603">
        <f>$B$2*'Tariff Rand Values Old'!J41</f>
        <v>13660.76557334282</v>
      </c>
      <c r="K41" s="603">
        <f>$B$2*'Tariff Rand Values Old'!K41</f>
        <v>13660.76557334282</v>
      </c>
      <c r="L41" s="603">
        <f>$B$2*'Tariff Rand Values Old'!L41</f>
        <v>13660.76557334282</v>
      </c>
      <c r="M41" s="603">
        <f>$B$2*'Tariff Rand Values Old'!M41</f>
        <v>13660.76557334282</v>
      </c>
      <c r="N41" s="603">
        <f>$B$2*'Tariff Rand Values Old'!N41</f>
        <v>13660.76557334282</v>
      </c>
      <c r="O41" s="603">
        <f>$B$2*'Tariff Rand Values Old'!O41</f>
        <v>13660.76557334282</v>
      </c>
      <c r="P41" s="603">
        <f>$B$2*'Tariff Rand Values Old'!P41</f>
        <v>13660.76557334282</v>
      </c>
      <c r="Q41" s="603">
        <f>$B$2*'Tariff Rand Values Old'!Q41</f>
        <v>13660.76557334282</v>
      </c>
      <c r="R41" s="603">
        <f>$B$2*'Tariff Rand Values Old'!R41</f>
        <v>13660.76557334282</v>
      </c>
      <c r="S41" s="603">
        <f>$B$2*'Tariff Rand Values Old'!S41</f>
        <v>13660.76557334282</v>
      </c>
      <c r="T41" s="603">
        <f>$B$2*'Tariff Rand Values Old'!T41</f>
        <v>13660.76557334282</v>
      </c>
      <c r="U41" s="603">
        <f>$B$2*'Tariff Rand Values Old'!U41</f>
        <v>13660.76557334282</v>
      </c>
      <c r="V41" s="605">
        <f t="shared" ref="V41:V46" si="1">SUM(L41:T41)</f>
        <v>122946.8901600854</v>
      </c>
      <c r="W41" s="605">
        <f t="shared" ref="W41:W46" si="2">U41+J41+K41</f>
        <v>40982.296720028462</v>
      </c>
    </row>
    <row r="42" spans="1:24" x14ac:dyDescent="0.35">
      <c r="A42" s="311" t="s">
        <v>256</v>
      </c>
      <c r="B42" s="311" t="s">
        <v>256</v>
      </c>
      <c r="C42" s="311" t="s">
        <v>862</v>
      </c>
      <c r="D42" s="311" t="s">
        <v>862</v>
      </c>
      <c r="E42" s="245" t="s">
        <v>862</v>
      </c>
      <c r="F42" s="245" t="s">
        <v>862</v>
      </c>
      <c r="I42" s="604">
        <f t="shared" si="0"/>
        <v>10494156.543372748</v>
      </c>
      <c r="J42" s="603">
        <f>$B$2*'Tariff Rand Values Old'!J42</f>
        <v>763061.98331024998</v>
      </c>
      <c r="K42" s="603">
        <f>$B$2*'Tariff Rand Values Old'!K42</f>
        <v>763061.98331024998</v>
      </c>
      <c r="L42" s="603">
        <f>$B$2*'Tariff Rand Values Old'!L42</f>
        <v>1017414.50962275</v>
      </c>
      <c r="M42" s="603">
        <f>$B$2*'Tariff Rand Values Old'!M42</f>
        <v>1017414.50962275</v>
      </c>
      <c r="N42" s="603">
        <f>$B$2*'Tariff Rand Values Old'!N42</f>
        <v>1017414.50962275</v>
      </c>
      <c r="O42" s="603">
        <f>$B$2*'Tariff Rand Values Old'!O42</f>
        <v>1017414.50962275</v>
      </c>
      <c r="P42" s="603">
        <f>$B$2*'Tariff Rand Values Old'!P42</f>
        <v>1017414.50962275</v>
      </c>
      <c r="Q42" s="603">
        <f>$B$2*'Tariff Rand Values Old'!Q42</f>
        <v>771983.77437750006</v>
      </c>
      <c r="R42" s="603">
        <f>$B$2*'Tariff Rand Values Old'!R42</f>
        <v>744299.35539524991</v>
      </c>
      <c r="S42" s="603">
        <f>$B$2*'Tariff Rand Values Old'!S42</f>
        <v>746875.91345399991</v>
      </c>
      <c r="T42" s="603">
        <f>$B$2*'Tariff Rand Values Old'!T42</f>
        <v>776414.57336399995</v>
      </c>
      <c r="U42" s="603">
        <f>$B$2*'Tariff Rand Values Old'!U42</f>
        <v>841386.41204774997</v>
      </c>
      <c r="V42" s="605">
        <f t="shared" si="1"/>
        <v>8126646.1647044998</v>
      </c>
      <c r="W42" s="605">
        <f t="shared" si="2"/>
        <v>2367510.3786682501</v>
      </c>
    </row>
    <row r="43" spans="1:24" x14ac:dyDescent="0.35">
      <c r="A43" s="311" t="s">
        <v>257</v>
      </c>
      <c r="B43" s="311" t="s">
        <v>257</v>
      </c>
      <c r="C43" s="311" t="s">
        <v>861</v>
      </c>
      <c r="D43" s="328" t="s">
        <v>1385</v>
      </c>
      <c r="E43" s="245" t="s">
        <v>861</v>
      </c>
      <c r="F43" s="245" t="s">
        <v>861</v>
      </c>
      <c r="I43" s="604">
        <f t="shared" si="0"/>
        <v>21051703.372301098</v>
      </c>
      <c r="J43" s="603">
        <f>$B$2*'Tariff Rand Values Old'!J43</f>
        <v>2061795.0479947501</v>
      </c>
      <c r="K43" s="603">
        <f>$B$2*'Tariff Rand Values Old'!K43</f>
        <v>1916951.62912305</v>
      </c>
      <c r="L43" s="603">
        <f>$B$2*'Tariff Rand Values Old'!L43</f>
        <v>2005149.7416764998</v>
      </c>
      <c r="M43" s="603">
        <f>$B$2*'Tariff Rand Values Old'!M43</f>
        <v>1696646.5974139499</v>
      </c>
      <c r="N43" s="603">
        <f>$B$2*'Tariff Rand Values Old'!N43</f>
        <v>1680988.8446310002</v>
      </c>
      <c r="O43" s="603">
        <f>$B$2*'Tariff Rand Values Old'!O43</f>
        <v>1582005.8257969501</v>
      </c>
      <c r="P43" s="603">
        <f>$B$2*'Tariff Rand Values Old'!P43</f>
        <v>1525651.0082290499</v>
      </c>
      <c r="Q43" s="603">
        <f>$B$2*'Tariff Rand Values Old'!Q43</f>
        <v>1497890.9213117999</v>
      </c>
      <c r="R43" s="603">
        <f>$B$2*'Tariff Rand Values Old'!R43</f>
        <v>1482773.2321210499</v>
      </c>
      <c r="S43" s="603">
        <f>$B$2*'Tariff Rand Values Old'!S43</f>
        <v>1484213.4017002499</v>
      </c>
      <c r="T43" s="603">
        <f>$B$2*'Tariff Rand Values Old'!T43</f>
        <v>1908224.6924399999</v>
      </c>
      <c r="U43" s="603">
        <f>$B$2*'Tariff Rand Values Old'!U43</f>
        <v>2209412.4298627498</v>
      </c>
      <c r="V43" s="605">
        <f t="shared" si="1"/>
        <v>14863544.265320551</v>
      </c>
      <c r="W43" s="605">
        <f t="shared" si="2"/>
        <v>6188159.1069805501</v>
      </c>
    </row>
    <row r="44" spans="1:24" x14ac:dyDescent="0.35">
      <c r="A44" s="311" t="s">
        <v>435</v>
      </c>
      <c r="B44" s="311" t="s">
        <v>258</v>
      </c>
      <c r="C44" s="311" t="s">
        <v>857</v>
      </c>
      <c r="D44" s="311" t="s">
        <v>859</v>
      </c>
      <c r="E44" s="245" t="s">
        <v>857</v>
      </c>
      <c r="F44" s="245" t="s">
        <v>859</v>
      </c>
      <c r="I44" s="604">
        <f t="shared" si="0"/>
        <v>19320115.638822149</v>
      </c>
      <c r="J44" s="603">
        <f>$B$2*'Tariff Rand Values Old'!J44</f>
        <v>3081548.5035219002</v>
      </c>
      <c r="K44" s="603">
        <f>$B$2*'Tariff Rand Values Old'!K44</f>
        <v>2826830.4021382504</v>
      </c>
      <c r="L44" s="603">
        <f>$B$2*'Tariff Rand Values Old'!L44</f>
        <v>1487920.0011839997</v>
      </c>
      <c r="M44" s="603">
        <f>$B$2*'Tariff Rand Values Old'!M44</f>
        <v>1332841.7307177</v>
      </c>
      <c r="N44" s="603">
        <f>$B$2*'Tariff Rand Values Old'!N44</f>
        <v>1289547.2357516999</v>
      </c>
      <c r="O44" s="603">
        <f>$B$2*'Tariff Rand Values Old'!O44</f>
        <v>928679.30864369997</v>
      </c>
      <c r="P44" s="603">
        <f>$B$2*'Tariff Rand Values Old'!P44</f>
        <v>1011744.0292047</v>
      </c>
      <c r="Q44" s="603">
        <f>$B$2*'Tariff Rand Values Old'!Q44</f>
        <v>973923.51075150003</v>
      </c>
      <c r="R44" s="603">
        <f>$B$2*'Tariff Rand Values Old'!R44</f>
        <v>951975.88114800001</v>
      </c>
      <c r="S44" s="603">
        <f>$B$2*'Tariff Rand Values Old'!S44</f>
        <v>1052191.525839</v>
      </c>
      <c r="T44" s="603">
        <f>$B$2*'Tariff Rand Values Old'!T44</f>
        <v>1393962.7227417</v>
      </c>
      <c r="U44" s="603">
        <f>$B$2*'Tariff Rand Values Old'!U44</f>
        <v>2988950.78718</v>
      </c>
      <c r="V44" s="605">
        <f t="shared" si="1"/>
        <v>10422785.945982</v>
      </c>
      <c r="W44" s="605">
        <f t="shared" si="2"/>
        <v>8897329.6928401496</v>
      </c>
    </row>
    <row r="45" spans="1:24" x14ac:dyDescent="0.35">
      <c r="A45" s="311" t="s">
        <v>438</v>
      </c>
      <c r="B45" s="311" t="s">
        <v>259</v>
      </c>
      <c r="C45" s="311" t="s">
        <v>856</v>
      </c>
      <c r="D45" s="311" t="s">
        <v>858</v>
      </c>
      <c r="E45" s="245" t="s">
        <v>856</v>
      </c>
      <c r="F45" s="245" t="s">
        <v>858</v>
      </c>
      <c r="I45" s="604">
        <f t="shared" si="0"/>
        <v>27080479.943269201</v>
      </c>
      <c r="J45" s="603">
        <f>$B$2*'Tariff Rand Values Old'!J45</f>
        <v>3738622.5736739999</v>
      </c>
      <c r="K45" s="603">
        <f>$B$2*'Tariff Rand Values Old'!K45</f>
        <v>3455460.2629173002</v>
      </c>
      <c r="L45" s="603">
        <f>$B$2*'Tariff Rand Values Old'!L45</f>
        <v>2159787.7291989001</v>
      </c>
      <c r="M45" s="603">
        <f>$B$2*'Tariff Rand Values Old'!M45</f>
        <v>1983247.3598901003</v>
      </c>
      <c r="N45" s="603">
        <f>$B$2*'Tariff Rand Values Old'!N45</f>
        <v>1943908.2525899999</v>
      </c>
      <c r="O45" s="603">
        <f>$B$2*'Tariff Rand Values Old'!O45</f>
        <v>1422021.6478130999</v>
      </c>
      <c r="P45" s="603">
        <f>$B$2*'Tariff Rand Values Old'!P45</f>
        <v>1564586.3797539</v>
      </c>
      <c r="Q45" s="603">
        <f>$B$2*'Tariff Rand Values Old'!Q45</f>
        <v>1519800.5914725002</v>
      </c>
      <c r="R45" s="603">
        <f>$B$2*'Tariff Rand Values Old'!R45</f>
        <v>1775044.61436</v>
      </c>
      <c r="S45" s="603">
        <f>$B$2*'Tariff Rand Values Old'!S45</f>
        <v>1652097.7302165001</v>
      </c>
      <c r="T45" s="603">
        <f>$B$2*'Tariff Rand Values Old'!T45</f>
        <v>2150661.8795046001</v>
      </c>
      <c r="U45" s="603">
        <f>$B$2*'Tariff Rand Values Old'!U45</f>
        <v>3715240.9218783001</v>
      </c>
      <c r="V45" s="605">
        <f t="shared" si="1"/>
        <v>16171156.184799602</v>
      </c>
      <c r="W45" s="605">
        <f t="shared" si="2"/>
        <v>10909323.7584696</v>
      </c>
    </row>
    <row r="46" spans="1:24" x14ac:dyDescent="0.35">
      <c r="A46" s="311" t="s">
        <v>491</v>
      </c>
      <c r="B46" s="311" t="s">
        <v>260</v>
      </c>
      <c r="C46" s="311" t="s">
        <v>490</v>
      </c>
      <c r="D46" s="311" t="s">
        <v>860</v>
      </c>
      <c r="E46" s="245" t="s">
        <v>490</v>
      </c>
      <c r="F46" s="245" t="s">
        <v>860</v>
      </c>
      <c r="I46" s="604">
        <f t="shared" si="0"/>
        <v>26720385.030456748</v>
      </c>
      <c r="J46" s="603">
        <f>$B$2*'Tariff Rand Values Old'!J46</f>
        <v>3513774.9977759998</v>
      </c>
      <c r="K46" s="603">
        <f>$B$2*'Tariff Rand Values Old'!K46</f>
        <v>3657139.2342360006</v>
      </c>
      <c r="L46" s="603">
        <f>$B$2*'Tariff Rand Values Old'!L46</f>
        <v>2069051.19010095</v>
      </c>
      <c r="M46" s="603">
        <f>$B$2*'Tariff Rand Values Old'!M46</f>
        <v>2022655.8028249503</v>
      </c>
      <c r="N46" s="603">
        <f>$B$2*'Tariff Rand Values Old'!N46</f>
        <v>1782660.9396465002</v>
      </c>
      <c r="O46" s="603">
        <f>$B$2*'Tariff Rand Values Old'!O46</f>
        <v>1696230.1929225002</v>
      </c>
      <c r="P46" s="603">
        <f>$B$2*'Tariff Rand Values Old'!P46</f>
        <v>1670083.8986329499</v>
      </c>
      <c r="Q46" s="603">
        <f>$B$2*'Tariff Rand Values Old'!Q46</f>
        <v>1320419.6589709502</v>
      </c>
      <c r="R46" s="603">
        <f>$B$2*'Tariff Rand Values Old'!R46</f>
        <v>1672278.2365950001</v>
      </c>
      <c r="S46" s="603">
        <f>$B$2*'Tariff Rand Values Old'!S46</f>
        <v>1716125.3154237003</v>
      </c>
      <c r="T46" s="603">
        <f>$B$2*'Tariff Rand Values Old'!T46</f>
        <v>1993551.8667772498</v>
      </c>
      <c r="U46" s="603">
        <f>$B$2*'Tariff Rand Values Old'!U46</f>
        <v>3606413.69655</v>
      </c>
      <c r="V46" s="605">
        <f t="shared" si="1"/>
        <v>15943057.101894753</v>
      </c>
      <c r="W46" s="605">
        <f t="shared" si="2"/>
        <v>10777327.928562</v>
      </c>
    </row>
    <row r="47" spans="1:24" x14ac:dyDescent="0.35">
      <c r="A47" s="247" t="s">
        <v>261</v>
      </c>
      <c r="I47" s="601">
        <f>SUM(I48:I53)</f>
        <v>696576538.44966841</v>
      </c>
      <c r="J47" s="602"/>
      <c r="K47" s="602"/>
      <c r="L47" s="602"/>
      <c r="M47" s="602"/>
      <c r="N47" s="602"/>
      <c r="O47" s="602"/>
      <c r="P47" s="602"/>
      <c r="Q47" s="602"/>
      <c r="R47" s="602"/>
      <c r="S47" s="602"/>
      <c r="T47" s="602"/>
      <c r="U47" s="602"/>
      <c r="V47" s="603">
        <f>+V46+V45+V44+V43+V42+V41</f>
        <v>65650136.552861497</v>
      </c>
      <c r="W47" s="603">
        <f>+W46+W45+W44+W43+W42+W41</f>
        <v>39180633.162240572</v>
      </c>
      <c r="X47" s="245">
        <f>+W47+V47</f>
        <v>104830769.71510208</v>
      </c>
    </row>
    <row r="48" spans="1:24" x14ac:dyDescent="0.35">
      <c r="A48" s="311" t="s">
        <v>262</v>
      </c>
      <c r="B48" s="311" t="s">
        <v>262</v>
      </c>
      <c r="C48" s="311" t="s">
        <v>854</v>
      </c>
      <c r="D48" s="328" t="s">
        <v>1383</v>
      </c>
      <c r="E48" s="245" t="s">
        <v>854</v>
      </c>
      <c r="F48" s="245" t="s">
        <v>854</v>
      </c>
      <c r="I48" s="604">
        <f t="shared" ref="I48:I53" si="3">SUM(J48:U48)</f>
        <v>5974187.1721452884</v>
      </c>
      <c r="J48" s="603">
        <f>$B$2*'Tariff Rand Values Old'!J48</f>
        <v>497848.93101210753</v>
      </c>
      <c r="K48" s="603">
        <f>$B$2*'Tariff Rand Values Old'!K48</f>
        <v>497848.93101210753</v>
      </c>
      <c r="L48" s="603">
        <f>$B$2*'Tariff Rand Values Old'!L48</f>
        <v>497848.93101210753</v>
      </c>
      <c r="M48" s="603">
        <f>$B$2*'Tariff Rand Values Old'!M48</f>
        <v>497848.93101210753</v>
      </c>
      <c r="N48" s="603">
        <f>$B$2*'Tariff Rand Values Old'!N48</f>
        <v>497848.93101210753</v>
      </c>
      <c r="O48" s="603">
        <f>$B$2*'Tariff Rand Values Old'!O48</f>
        <v>497848.93101210753</v>
      </c>
      <c r="P48" s="603">
        <f>$B$2*'Tariff Rand Values Old'!P48</f>
        <v>497848.93101210753</v>
      </c>
      <c r="Q48" s="603">
        <f>$B$2*'Tariff Rand Values Old'!Q48</f>
        <v>497848.93101210753</v>
      </c>
      <c r="R48" s="603">
        <f>$B$2*'Tariff Rand Values Old'!R48</f>
        <v>497848.93101210753</v>
      </c>
      <c r="S48" s="603">
        <f>$B$2*'Tariff Rand Values Old'!S48</f>
        <v>497848.93101210753</v>
      </c>
      <c r="T48" s="603">
        <f>$B$2*'Tariff Rand Values Old'!T48</f>
        <v>497848.93101210753</v>
      </c>
      <c r="U48" s="603">
        <f>$B$2*'Tariff Rand Values Old'!U48</f>
        <v>497848.93101210753</v>
      </c>
      <c r="V48" s="605">
        <f t="shared" ref="V48:V53" si="4">SUM(L48:T48)</f>
        <v>4480640.3791089673</v>
      </c>
      <c r="W48" s="605">
        <f t="shared" ref="W48:W53" si="5">U48+J48+K48</f>
        <v>1493546.7930363226</v>
      </c>
    </row>
    <row r="49" spans="1:24" x14ac:dyDescent="0.35">
      <c r="A49" s="311" t="s">
        <v>262</v>
      </c>
      <c r="B49" s="311" t="s">
        <v>262</v>
      </c>
      <c r="C49" s="311" t="s">
        <v>854</v>
      </c>
      <c r="D49" s="311" t="s">
        <v>854</v>
      </c>
      <c r="E49" s="245" t="s">
        <v>854</v>
      </c>
      <c r="F49" s="245" t="s">
        <v>854</v>
      </c>
      <c r="I49" s="604">
        <f t="shared" si="3"/>
        <v>66254968.113574795</v>
      </c>
      <c r="J49" s="603">
        <f>$B$2*'Tariff Rand Values Old'!J49</f>
        <v>5560033.0824000482</v>
      </c>
      <c r="K49" s="603">
        <f>$B$2*'Tariff Rand Values Old'!K49</f>
        <v>5539023.8008183688</v>
      </c>
      <c r="L49" s="603">
        <f>$B$2*'Tariff Rand Values Old'!L49</f>
        <v>5502379.7050363682</v>
      </c>
      <c r="M49" s="603">
        <f>$B$2*'Tariff Rand Values Old'!M49</f>
        <v>5512444.6166778244</v>
      </c>
      <c r="N49" s="603">
        <f>$B$2*'Tariff Rand Values Old'!N49</f>
        <v>5538926.0832296172</v>
      </c>
      <c r="O49" s="603">
        <f>$B$2*'Tariff Rand Values Old'!O49</f>
        <v>5476289.1088395836</v>
      </c>
      <c r="P49" s="603">
        <f>$B$2*'Tariff Rand Values Old'!P49</f>
        <v>5458797.6604529759</v>
      </c>
      <c r="Q49" s="603">
        <f>$B$2*'Tariff Rand Values Old'!Q49</f>
        <v>5561791.9989975831</v>
      </c>
      <c r="R49" s="603">
        <f>$B$2*'Tariff Rand Values Old'!R49</f>
        <v>5459090.8132192306</v>
      </c>
      <c r="S49" s="603">
        <f>$B$2*'Tariff Rand Values Old'!S49</f>
        <v>5495539.473823728</v>
      </c>
      <c r="T49" s="603">
        <f>$B$2*'Tariff Rand Values Old'!T49</f>
        <v>5553681.4391311677</v>
      </c>
      <c r="U49" s="603">
        <f>$B$2*'Tariff Rand Values Old'!U49</f>
        <v>5596970.3309483035</v>
      </c>
      <c r="V49" s="605">
        <f t="shared" si="4"/>
        <v>49558940.89940808</v>
      </c>
      <c r="W49" s="605">
        <f t="shared" si="5"/>
        <v>16696027.214166719</v>
      </c>
    </row>
    <row r="50" spans="1:24" x14ac:dyDescent="0.35">
      <c r="A50" s="311" t="s">
        <v>263</v>
      </c>
      <c r="B50" s="311" t="s">
        <v>263</v>
      </c>
      <c r="C50" s="311" t="s">
        <v>853</v>
      </c>
      <c r="D50" s="328" t="s">
        <v>1384</v>
      </c>
      <c r="E50" s="245" t="s">
        <v>853</v>
      </c>
      <c r="F50" s="245" t="s">
        <v>853</v>
      </c>
      <c r="I50" s="604">
        <f t="shared" si="3"/>
        <v>151432964.53422818</v>
      </c>
      <c r="J50" s="603">
        <f>$B$2*'Tariff Rand Values Old'!J50</f>
        <v>12939797.17752121</v>
      </c>
      <c r="K50" s="603">
        <f>$B$2*'Tariff Rand Values Old'!K50</f>
        <v>12601955.928153187</v>
      </c>
      <c r="L50" s="603">
        <f>$B$2*'Tariff Rand Values Old'!L50</f>
        <v>12402539.429311151</v>
      </c>
      <c r="M50" s="603">
        <f>$B$2*'Tariff Rand Values Old'!M50</f>
        <v>12401478.703253482</v>
      </c>
      <c r="N50" s="603">
        <f>$B$2*'Tariff Rand Values Old'!N50</f>
        <v>12853082.822306653</v>
      </c>
      <c r="O50" s="603">
        <f>$B$2*'Tariff Rand Values Old'!O50</f>
        <v>12545472.265582237</v>
      </c>
      <c r="P50" s="603">
        <f>$B$2*'Tariff Rand Values Old'!P50</f>
        <v>12714658.071780667</v>
      </c>
      <c r="Q50" s="603">
        <f>$B$2*'Tariff Rand Values Old'!Q50</f>
        <v>12681775.563992884</v>
      </c>
      <c r="R50" s="603">
        <f>$B$2*'Tariff Rand Values Old'!R50</f>
        <v>12604607.743297363</v>
      </c>
      <c r="S50" s="603">
        <f>$B$2*'Tariff Rand Values Old'!S50</f>
        <v>12434626.392555682</v>
      </c>
      <c r="T50" s="603">
        <f>$B$2*'Tariff Rand Values Old'!T50</f>
        <v>12382650.815729832</v>
      </c>
      <c r="U50" s="603">
        <f>$B$2*'Tariff Rand Values Old'!U50</f>
        <v>12870319.620743798</v>
      </c>
      <c r="V50" s="605">
        <f>SUM(L50:T50)+30386170.36</f>
        <v>143407062.16780996</v>
      </c>
      <c r="W50" s="605">
        <f t="shared" si="5"/>
        <v>38412072.726418197</v>
      </c>
    </row>
    <row r="51" spans="1:24" x14ac:dyDescent="0.35">
      <c r="A51" s="311" t="s">
        <v>423</v>
      </c>
      <c r="B51" s="311" t="s">
        <v>264</v>
      </c>
      <c r="C51" s="311" t="s">
        <v>849</v>
      </c>
      <c r="D51" s="311" t="s">
        <v>852</v>
      </c>
      <c r="E51" s="245" t="s">
        <v>849</v>
      </c>
      <c r="F51" s="245" t="s">
        <v>852</v>
      </c>
      <c r="I51" s="604">
        <f t="shared" si="3"/>
        <v>122254678.20978273</v>
      </c>
      <c r="J51" s="603">
        <f>$B$2*'Tariff Rand Values Old'!J51</f>
        <v>17648703.646210771</v>
      </c>
      <c r="K51" s="603">
        <f>$B$2*'Tariff Rand Values Old'!K51</f>
        <v>16879611.857604045</v>
      </c>
      <c r="L51" s="603">
        <f>$B$2*'Tariff Rand Values Old'!L51</f>
        <v>7907635.2385688061</v>
      </c>
      <c r="M51" s="603">
        <f>$B$2*'Tariff Rand Values Old'!M51</f>
        <v>7772082.1434766985</v>
      </c>
      <c r="N51" s="603">
        <f>$B$2*'Tariff Rand Values Old'!N51</f>
        <v>8172746.3838199498</v>
      </c>
      <c r="O51" s="603">
        <f>$B$2*'Tariff Rand Values Old'!O51</f>
        <v>7498298.3136282591</v>
      </c>
      <c r="P51" s="603">
        <f>$B$2*'Tariff Rand Values Old'!P51</f>
        <v>7843250.5517714573</v>
      </c>
      <c r="Q51" s="603">
        <f>$B$2*'Tariff Rand Values Old'!Q51</f>
        <v>7883393.0858518491</v>
      </c>
      <c r="R51" s="603">
        <f>$B$2*'Tariff Rand Values Old'!R51</f>
        <v>8317912.5086437501</v>
      </c>
      <c r="S51" s="603">
        <f>$B$2*'Tariff Rand Values Old'!S51</f>
        <v>7294615.6968634007</v>
      </c>
      <c r="T51" s="603">
        <f>$B$2*'Tariff Rand Values Old'!T51</f>
        <v>7997235.5145418867</v>
      </c>
      <c r="U51" s="603">
        <f>$B$2*'Tariff Rand Values Old'!U51</f>
        <v>17039193.268801849</v>
      </c>
      <c r="V51" s="605">
        <f t="shared" si="4"/>
        <v>70687169.437166065</v>
      </c>
      <c r="W51" s="605">
        <f t="shared" si="5"/>
        <v>51567508.77261667</v>
      </c>
    </row>
    <row r="52" spans="1:24" x14ac:dyDescent="0.35">
      <c r="A52" s="311" t="s">
        <v>425</v>
      </c>
      <c r="B52" s="311" t="s">
        <v>265</v>
      </c>
      <c r="C52" s="311" t="s">
        <v>848</v>
      </c>
      <c r="D52" s="311" t="s">
        <v>851</v>
      </c>
      <c r="E52" s="245" t="s">
        <v>848</v>
      </c>
      <c r="F52" s="245" t="s">
        <v>851</v>
      </c>
      <c r="I52" s="604">
        <f t="shared" si="3"/>
        <v>183906515.07549223</v>
      </c>
      <c r="J52" s="603">
        <f>$B$2*'Tariff Rand Values Old'!J52</f>
        <v>22257663.071866062</v>
      </c>
      <c r="K52" s="603">
        <f>$B$2*'Tariff Rand Values Old'!K52</f>
        <v>21146505.600501966</v>
      </c>
      <c r="L52" s="603">
        <f>$B$2*'Tariff Rand Values Old'!L52</f>
        <v>13099149.168345653</v>
      </c>
      <c r="M52" s="603">
        <f>$B$2*'Tariff Rand Values Old'!M52</f>
        <v>13065483.97265665</v>
      </c>
      <c r="N52" s="603">
        <f>$B$2*'Tariff Rand Values Old'!N52</f>
        <v>13592434.458205758</v>
      </c>
      <c r="O52" s="603">
        <f>$B$2*'Tariff Rand Values Old'!O52</f>
        <v>12685498.3191396</v>
      </c>
      <c r="P52" s="603">
        <f>$B$2*'Tariff Rand Values Old'!P52</f>
        <v>13356262.55559185</v>
      </c>
      <c r="Q52" s="603">
        <f>$B$2*'Tariff Rand Values Old'!Q52</f>
        <v>13276387.532968711</v>
      </c>
      <c r="R52" s="603">
        <f>$B$2*'Tariff Rand Values Old'!R52</f>
        <v>14199089.931001358</v>
      </c>
      <c r="S52" s="603">
        <f>$B$2*'Tariff Rand Values Old'!S52</f>
        <v>12484576.19721408</v>
      </c>
      <c r="T52" s="603">
        <f>$B$2*'Tariff Rand Values Old'!T52</f>
        <v>13201989.820137968</v>
      </c>
      <c r="U52" s="603">
        <f>$B$2*'Tariff Rand Values Old'!U52</f>
        <v>21541474.447862554</v>
      </c>
      <c r="V52" s="605">
        <f>SUM(L52:T52)+30386170.36</f>
        <v>149347042.3152616</v>
      </c>
      <c r="W52" s="605">
        <f t="shared" si="5"/>
        <v>64945643.120230585</v>
      </c>
    </row>
    <row r="53" spans="1:24" x14ac:dyDescent="0.35">
      <c r="A53" s="311" t="s">
        <v>421</v>
      </c>
      <c r="B53" s="311" t="s">
        <v>266</v>
      </c>
      <c r="C53" s="311" t="s">
        <v>850</v>
      </c>
      <c r="D53" s="311" t="s">
        <v>855</v>
      </c>
      <c r="E53" s="245" t="s">
        <v>850</v>
      </c>
      <c r="F53" s="245" t="s">
        <v>855</v>
      </c>
      <c r="I53" s="604">
        <f t="shared" si="3"/>
        <v>166753225.34444526</v>
      </c>
      <c r="J53" s="603">
        <f>$B$2*'Tariff Rand Values Old'!J53</f>
        <v>19506594.778054845</v>
      </c>
      <c r="K53" s="603">
        <f>$B$2*'Tariff Rand Values Old'!K53</f>
        <v>20446542.382034</v>
      </c>
      <c r="L53" s="603">
        <f>$B$2*'Tariff Rand Values Old'!L53</f>
        <v>11432161.097305663</v>
      </c>
      <c r="M53" s="603">
        <f>$B$2*'Tariff Rand Values Old'!M53</f>
        <v>12052536.51823424</v>
      </c>
      <c r="N53" s="603">
        <f>$B$2*'Tariff Rand Values Old'!N53</f>
        <v>11628955.449753152</v>
      </c>
      <c r="O53" s="603">
        <f>$B$2*'Tariff Rand Values Old'!O53</f>
        <v>12262483.063337024</v>
      </c>
      <c r="P53" s="603">
        <f>$B$2*'Tariff Rand Values Old'!P53</f>
        <v>12325025.427391233</v>
      </c>
      <c r="Q53" s="603">
        <f>$B$2*'Tariff Rand Values Old'!Q53</f>
        <v>10950051.334633857</v>
      </c>
      <c r="R53" s="603">
        <f>$B$2*'Tariff Rand Values Old'!R53</f>
        <v>11750186.16073728</v>
      </c>
      <c r="S53" s="603">
        <f>$B$2*'Tariff Rand Values Old'!S53</f>
        <v>12493379.240877634</v>
      </c>
      <c r="T53" s="603">
        <f>$B$2*'Tariff Rand Values Old'!T53</f>
        <v>12415875.818632992</v>
      </c>
      <c r="U53" s="603">
        <f>$B$2*'Tariff Rand Values Old'!U53</f>
        <v>19489434.073453344</v>
      </c>
      <c r="V53" s="605">
        <f t="shared" si="4"/>
        <v>107310654.11090305</v>
      </c>
      <c r="W53" s="605">
        <f t="shared" si="5"/>
        <v>59442571.233542189</v>
      </c>
    </row>
    <row r="54" spans="1:24" x14ac:dyDescent="0.35">
      <c r="A54" s="247" t="s">
        <v>267</v>
      </c>
      <c r="I54" s="601">
        <f>SUM(I55:I60)</f>
        <v>345099732.54389089</v>
      </c>
      <c r="J54" s="602"/>
      <c r="K54" s="602"/>
      <c r="L54" s="602"/>
      <c r="M54" s="602"/>
      <c r="N54" s="602"/>
      <c r="O54" s="602"/>
      <c r="P54" s="602"/>
      <c r="Q54" s="602"/>
      <c r="R54" s="602"/>
      <c r="S54" s="602"/>
      <c r="T54" s="602"/>
      <c r="U54" s="602"/>
      <c r="V54" s="603">
        <f>+V53+V52+V51+V50+V49+V48</f>
        <v>524791509.30965775</v>
      </c>
      <c r="W54" s="603">
        <f>+W53+W52+W51+W50+W49+W48</f>
        <v>232557369.86001068</v>
      </c>
      <c r="X54" s="245">
        <f>+W54+V54</f>
        <v>757348879.16966844</v>
      </c>
    </row>
    <row r="55" spans="1:24" x14ac:dyDescent="0.35">
      <c r="A55" s="311" t="s">
        <v>268</v>
      </c>
      <c r="B55" s="311" t="s">
        <v>268</v>
      </c>
      <c r="C55" s="311" t="s">
        <v>847</v>
      </c>
      <c r="D55" s="328" t="s">
        <v>1386</v>
      </c>
      <c r="E55" s="245" t="s">
        <v>847</v>
      </c>
      <c r="F55" s="245" t="s">
        <v>847</v>
      </c>
      <c r="I55" s="604">
        <f t="shared" ref="I55:I60" si="6">SUM(J55:U55)</f>
        <v>17526628.606069561</v>
      </c>
      <c r="J55" s="603">
        <f>$B$2*'Tariff Rand Values Old'!J55</f>
        <v>1460552.3838391302</v>
      </c>
      <c r="K55" s="603">
        <f>$B$2*'Tariff Rand Values Old'!K55</f>
        <v>1460552.3838391302</v>
      </c>
      <c r="L55" s="603">
        <f>$B$2*'Tariff Rand Values Old'!L55</f>
        <v>1460552.3838391302</v>
      </c>
      <c r="M55" s="603">
        <f>$B$2*'Tariff Rand Values Old'!M55</f>
        <v>1460552.3838391302</v>
      </c>
      <c r="N55" s="603">
        <f>$B$2*'Tariff Rand Values Old'!N55</f>
        <v>1460552.3838391302</v>
      </c>
      <c r="O55" s="603">
        <f>$B$2*'Tariff Rand Values Old'!O55</f>
        <v>1460552.3838391302</v>
      </c>
      <c r="P55" s="603">
        <f>$B$2*'Tariff Rand Values Old'!P55</f>
        <v>1460552.3838391302</v>
      </c>
      <c r="Q55" s="603">
        <f>$B$2*'Tariff Rand Values Old'!Q55</f>
        <v>1460552.3838391302</v>
      </c>
      <c r="R55" s="603">
        <f>$B$2*'Tariff Rand Values Old'!R55</f>
        <v>1460552.3838391302</v>
      </c>
      <c r="S55" s="603">
        <f>$B$2*'Tariff Rand Values Old'!S55</f>
        <v>1460552.3838391302</v>
      </c>
      <c r="T55" s="603">
        <f>$B$2*'Tariff Rand Values Old'!T55</f>
        <v>1460552.3838391302</v>
      </c>
      <c r="U55" s="603">
        <f>$B$2*'Tariff Rand Values Old'!U55</f>
        <v>1460552.3838391302</v>
      </c>
      <c r="V55" s="605">
        <f t="shared" ref="V55:V60" si="7">SUM(L55:T55)</f>
        <v>13144971.454552172</v>
      </c>
      <c r="W55" s="605">
        <f t="shared" ref="W55:W60" si="8">U55+J55+K55</f>
        <v>4381657.1515173903</v>
      </c>
    </row>
    <row r="56" spans="1:24" x14ac:dyDescent="0.35">
      <c r="A56" s="311" t="s">
        <v>268</v>
      </c>
      <c r="B56" s="311" t="s">
        <v>268</v>
      </c>
      <c r="C56" s="311" t="s">
        <v>847</v>
      </c>
      <c r="D56" s="311" t="s">
        <v>847</v>
      </c>
      <c r="E56" s="245" t="s">
        <v>847</v>
      </c>
      <c r="F56" s="245" t="s">
        <v>847</v>
      </c>
      <c r="I56" s="604">
        <f t="shared" si="6"/>
        <v>38173968.139968999</v>
      </c>
      <c r="J56" s="603">
        <f>$B$2*'Tariff Rand Values Old'!J56</f>
        <v>3707129.9849265455</v>
      </c>
      <c r="K56" s="603">
        <f>$B$2*'Tariff Rand Values Old'!K56</f>
        <v>3578865.8541783821</v>
      </c>
      <c r="L56" s="603">
        <f>$B$2*'Tariff Rand Values Old'!L56</f>
        <v>3964277.8799047531</v>
      </c>
      <c r="M56" s="603">
        <f>$B$2*'Tariff Rand Values Old'!M56</f>
        <v>2952243.7243943904</v>
      </c>
      <c r="N56" s="603">
        <f>$B$2*'Tariff Rand Values Old'!N56</f>
        <v>3065017.0180956768</v>
      </c>
      <c r="O56" s="603">
        <f>$B$2*'Tariff Rand Values Old'!O56</f>
        <v>2944498.3058709507</v>
      </c>
      <c r="P56" s="603">
        <f>$B$2*'Tariff Rand Values Old'!P56</f>
        <v>2966805.111218458</v>
      </c>
      <c r="Q56" s="603">
        <f>$B$2*'Tariff Rand Values Old'!Q56</f>
        <v>3034035.3440019172</v>
      </c>
      <c r="R56" s="603">
        <f>$B$2*'Tariff Rand Values Old'!R56</f>
        <v>2953173.174617203</v>
      </c>
      <c r="S56" s="603">
        <f>$B$2*'Tariff Rand Values Old'!S56</f>
        <v>2985703.9324156516</v>
      </c>
      <c r="T56" s="603">
        <f>$B$2*'Tariff Rand Values Old'!T56</f>
        <v>3010489.2716906592</v>
      </c>
      <c r="U56" s="603">
        <f>$B$2*'Tariff Rand Values Old'!U56</f>
        <v>3011728.5386544093</v>
      </c>
      <c r="V56" s="605">
        <f t="shared" si="7"/>
        <v>27876243.762209658</v>
      </c>
      <c r="W56" s="605">
        <f t="shared" si="8"/>
        <v>10297724.377759337</v>
      </c>
      <c r="X56" s="245" t="e">
        <f>+#REF!+#REF!</f>
        <v>#REF!</v>
      </c>
    </row>
    <row r="57" spans="1:24" x14ac:dyDescent="0.35">
      <c r="A57" s="311" t="s">
        <v>269</v>
      </c>
      <c r="B57" s="311" t="s">
        <v>269</v>
      </c>
      <c r="C57" s="311" t="s">
        <v>846</v>
      </c>
      <c r="D57" s="311" t="s">
        <v>846</v>
      </c>
      <c r="E57" s="245" t="s">
        <v>846</v>
      </c>
      <c r="F57" s="245" t="s">
        <v>846</v>
      </c>
      <c r="I57" s="604">
        <f t="shared" si="6"/>
        <v>76263842.939496532</v>
      </c>
      <c r="J57" s="603">
        <f>$B$2*'Tariff Rand Values Old'!J57</f>
        <v>6948418.254170429</v>
      </c>
      <c r="K57" s="603">
        <f>$B$2*'Tariff Rand Values Old'!K57</f>
        <v>7542868.8005321529</v>
      </c>
      <c r="L57" s="603">
        <f>$B$2*'Tariff Rand Values Old'!L57</f>
        <v>7285684.324233341</v>
      </c>
      <c r="M57" s="603">
        <f>$B$2*'Tariff Rand Values Old'!M57</f>
        <v>5968914.6751094433</v>
      </c>
      <c r="N57" s="603">
        <f>$B$2*'Tariff Rand Values Old'!N57</f>
        <v>6494791.0954445554</v>
      </c>
      <c r="O57" s="603">
        <f>$B$2*'Tariff Rand Values Old'!O57</f>
        <v>5866347.0427135034</v>
      </c>
      <c r="P57" s="603">
        <f>$B$2*'Tariff Rand Values Old'!P57</f>
        <v>6105381.779229464</v>
      </c>
      <c r="Q57" s="603">
        <f>$B$2*'Tariff Rand Values Old'!Q57</f>
        <v>6311386.2612450374</v>
      </c>
      <c r="R57" s="603">
        <f>$B$2*'Tariff Rand Values Old'!R57</f>
        <v>5854178.0015817825</v>
      </c>
      <c r="S57" s="603">
        <f>$B$2*'Tariff Rand Values Old'!S57</f>
        <v>5647304.3023425154</v>
      </c>
      <c r="T57" s="603">
        <f>$B$2*'Tariff Rand Values Old'!T57</f>
        <v>5941099.7239512224</v>
      </c>
      <c r="U57" s="603">
        <f>$B$2*'Tariff Rand Values Old'!U57</f>
        <v>6297468.678943092</v>
      </c>
      <c r="V57" s="605">
        <f t="shared" si="7"/>
        <v>55475087.205850855</v>
      </c>
      <c r="W57" s="605">
        <f t="shared" si="8"/>
        <v>20788755.733645674</v>
      </c>
    </row>
    <row r="58" spans="1:24" x14ac:dyDescent="0.35">
      <c r="A58" s="311" t="s">
        <v>337</v>
      </c>
      <c r="B58" s="311" t="s">
        <v>330</v>
      </c>
      <c r="C58" s="311" t="s">
        <v>841</v>
      </c>
      <c r="D58" s="311" t="s">
        <v>844</v>
      </c>
      <c r="E58" s="245" t="s">
        <v>841</v>
      </c>
      <c r="F58" s="245" t="s">
        <v>844</v>
      </c>
      <c r="I58" s="604">
        <f t="shared" si="6"/>
        <v>63057767.008133695</v>
      </c>
      <c r="J58" s="603">
        <f>$B$2*'Tariff Rand Values Old'!J58</f>
        <v>8263206.6173403617</v>
      </c>
      <c r="K58" s="603">
        <f>$B$2*'Tariff Rand Values Old'!K58</f>
        <v>7677049.3273139223</v>
      </c>
      <c r="L58" s="603">
        <f>$B$2*'Tariff Rand Values Old'!L58</f>
        <v>7421946.6473857481</v>
      </c>
      <c r="M58" s="603">
        <f>$B$2*'Tariff Rand Values Old'!M58</f>
        <v>7383908.3176308442</v>
      </c>
      <c r="N58" s="603">
        <f>$B$2*'Tariff Rand Values Old'!N58</f>
        <v>8454576.8509655986</v>
      </c>
      <c r="O58" s="603">
        <f>$B$2*'Tariff Rand Values Old'!O58</f>
        <v>2769531.2599963313</v>
      </c>
      <c r="P58" s="603">
        <f>$B$2*'Tariff Rand Values Old'!P58</f>
        <v>3032840.0360512799</v>
      </c>
      <c r="Q58" s="603">
        <f>$B$2*'Tariff Rand Values Old'!Q58</f>
        <v>2922395.826513852</v>
      </c>
      <c r="R58" s="603">
        <f>$B$2*'Tariff Rand Values Old'!R58</f>
        <v>3092402.6853295681</v>
      </c>
      <c r="S58" s="603">
        <f>$B$2*'Tariff Rand Values Old'!S58</f>
        <v>2676897.7954070042</v>
      </c>
      <c r="T58" s="603">
        <f>$B$2*'Tariff Rand Values Old'!T58</f>
        <v>3058927.280256744</v>
      </c>
      <c r="U58" s="603">
        <f>$B$2*'Tariff Rand Values Old'!U58</f>
        <v>6304084.3639424443</v>
      </c>
      <c r="V58" s="605">
        <f t="shared" si="7"/>
        <v>40813426.699536972</v>
      </c>
      <c r="W58" s="605">
        <f t="shared" si="8"/>
        <v>22244340.30859673</v>
      </c>
    </row>
    <row r="59" spans="1:24" x14ac:dyDescent="0.35">
      <c r="A59" s="311" t="s">
        <v>339</v>
      </c>
      <c r="B59" s="311" t="s">
        <v>332</v>
      </c>
      <c r="C59" s="311" t="s">
        <v>840</v>
      </c>
      <c r="D59" s="311" t="s">
        <v>843</v>
      </c>
      <c r="E59" s="245" t="s">
        <v>840</v>
      </c>
      <c r="F59" s="245" t="s">
        <v>843</v>
      </c>
      <c r="I59" s="604">
        <f t="shared" si="6"/>
        <v>82052396.763988987</v>
      </c>
      <c r="J59" s="603">
        <f>$B$2*'Tariff Rand Values Old'!J59</f>
        <v>8883613.6683334894</v>
      </c>
      <c r="K59" s="603">
        <f>$B$2*'Tariff Rand Values Old'!K59</f>
        <v>8991195.2326353639</v>
      </c>
      <c r="L59" s="603">
        <f>$B$2*'Tariff Rand Values Old'!L59</f>
        <v>8834800.4721471388</v>
      </c>
      <c r="M59" s="603">
        <f>$B$2*'Tariff Rand Values Old'!M59</f>
        <v>7682531.8605512353</v>
      </c>
      <c r="N59" s="603">
        <f>$B$2*'Tariff Rand Values Old'!N59</f>
        <v>9738598.3369292393</v>
      </c>
      <c r="O59" s="603">
        <f>$B$2*'Tariff Rand Values Old'!O59</f>
        <v>4607106.4320884282</v>
      </c>
      <c r="P59" s="603">
        <f>$B$2*'Tariff Rand Values Old'!P59</f>
        <v>5138917.9794904683</v>
      </c>
      <c r="Q59" s="603">
        <f>$B$2*'Tariff Rand Values Old'!Q59</f>
        <v>5777570.2189288326</v>
      </c>
      <c r="R59" s="603">
        <f>$B$2*'Tariff Rand Values Old'!R59</f>
        <v>5245706.7987195244</v>
      </c>
      <c r="S59" s="603">
        <f>$B$2*'Tariff Rand Values Old'!S59</f>
        <v>4511574.0120365284</v>
      </c>
      <c r="T59" s="603">
        <f>$B$2*'Tariff Rand Values Old'!T59</f>
        <v>4904424.0724128475</v>
      </c>
      <c r="U59" s="603">
        <f>$B$2*'Tariff Rand Values Old'!U59</f>
        <v>7736357.6797158867</v>
      </c>
      <c r="V59" s="605">
        <f t="shared" si="7"/>
        <v>56441230.18330425</v>
      </c>
      <c r="W59" s="605">
        <f t="shared" si="8"/>
        <v>25611166.58068474</v>
      </c>
    </row>
    <row r="60" spans="1:24" x14ac:dyDescent="0.35">
      <c r="A60" s="311" t="s">
        <v>335</v>
      </c>
      <c r="B60" s="311" t="s">
        <v>328</v>
      </c>
      <c r="C60" s="311" t="s">
        <v>842</v>
      </c>
      <c r="D60" s="311" t="s">
        <v>845</v>
      </c>
      <c r="E60" s="245" t="s">
        <v>842</v>
      </c>
      <c r="F60" s="245" t="s">
        <v>845</v>
      </c>
      <c r="I60" s="604">
        <f t="shared" si="6"/>
        <v>68025129.086233124</v>
      </c>
      <c r="J60" s="603">
        <f>$B$2*'Tariff Rand Values Old'!J60</f>
        <v>7727415.5302679902</v>
      </c>
      <c r="K60" s="603">
        <f>$B$2*'Tariff Rand Values Old'!K60</f>
        <v>7706160.3030429566</v>
      </c>
      <c r="L60" s="603">
        <f>$B$2*'Tariff Rand Values Old'!L60</f>
        <v>7550075.544364702</v>
      </c>
      <c r="M60" s="603">
        <f>$B$2*'Tariff Rand Values Old'!M60</f>
        <v>7600837.5714107929</v>
      </c>
      <c r="N60" s="603">
        <f>$B$2*'Tariff Rand Values Old'!N60</f>
        <v>8070771.8984107785</v>
      </c>
      <c r="O60" s="603">
        <f>$B$2*'Tariff Rand Values Old'!O60</f>
        <v>4070427.4944085311</v>
      </c>
      <c r="P60" s="603">
        <f>$B$2*'Tariff Rand Values Old'!P60</f>
        <v>4211396.4444280975</v>
      </c>
      <c r="Q60" s="603">
        <f>$B$2*'Tariff Rand Values Old'!Q60</f>
        <v>3559794.824415592</v>
      </c>
      <c r="R60" s="603">
        <f>$B$2*'Tariff Rand Values Old'!R60</f>
        <v>3711327.8056708458</v>
      </c>
      <c r="S60" s="603">
        <f>$B$2*'Tariff Rand Values Old'!S60</f>
        <v>3911244.8753004838</v>
      </c>
      <c r="T60" s="603">
        <f>$B$2*'Tariff Rand Values Old'!T60</f>
        <v>3943942.8215910182</v>
      </c>
      <c r="U60" s="603">
        <f>$B$2*'Tariff Rand Values Old'!U60</f>
        <v>5961733.972921324</v>
      </c>
      <c r="V60" s="605">
        <f t="shared" si="7"/>
        <v>46629819.280000836</v>
      </c>
      <c r="W60" s="605">
        <f t="shared" si="8"/>
        <v>21395309.80623227</v>
      </c>
    </row>
    <row r="61" spans="1:24" x14ac:dyDescent="0.35">
      <c r="A61" s="247" t="s">
        <v>270</v>
      </c>
      <c r="I61" s="601">
        <f>SUM(I62:I66)</f>
        <v>57158093.935789198</v>
      </c>
      <c r="J61" s="602"/>
      <c r="K61" s="602"/>
      <c r="L61" s="602"/>
      <c r="M61" s="602"/>
      <c r="N61" s="602"/>
      <c r="O61" s="602"/>
      <c r="P61" s="602"/>
      <c r="Q61" s="602"/>
      <c r="R61" s="602"/>
      <c r="S61" s="602"/>
      <c r="T61" s="602"/>
      <c r="U61" s="602"/>
      <c r="V61" s="603">
        <f t="shared" ref="V61:W61" si="9">+V60+V59+V58+V57+V56+V55</f>
        <v>240380778.58545476</v>
      </c>
      <c r="W61" s="603">
        <f t="shared" si="9"/>
        <v>104718953.95843615</v>
      </c>
      <c r="X61" s="245">
        <f>+V61+W61</f>
        <v>345099732.54389089</v>
      </c>
    </row>
    <row r="62" spans="1:24" x14ac:dyDescent="0.35">
      <c r="A62" s="311" t="s">
        <v>520</v>
      </c>
      <c r="B62" s="311" t="s">
        <v>520</v>
      </c>
      <c r="C62" s="311" t="s">
        <v>519</v>
      </c>
      <c r="D62" s="328" t="s">
        <v>519</v>
      </c>
      <c r="E62" s="245" t="s">
        <v>519</v>
      </c>
      <c r="F62" s="245" t="s">
        <v>519</v>
      </c>
      <c r="I62" s="604">
        <f>SUM(J62:U62)</f>
        <v>1362040.6494881387</v>
      </c>
      <c r="J62" s="603">
        <f>$B$2*'Tariff Rand Values Old'!J62</f>
        <v>113503.38745734486</v>
      </c>
      <c r="K62" s="603">
        <f>$B$2*'Tariff Rand Values Old'!K62</f>
        <v>113503.38745734486</v>
      </c>
      <c r="L62" s="603">
        <f>$B$2*'Tariff Rand Values Old'!L62</f>
        <v>113503.38745734486</v>
      </c>
      <c r="M62" s="603">
        <f>$B$2*'Tariff Rand Values Old'!M62</f>
        <v>113503.38745734486</v>
      </c>
      <c r="N62" s="603">
        <f>$B$2*'Tariff Rand Values Old'!N62</f>
        <v>113503.38745734486</v>
      </c>
      <c r="O62" s="603">
        <f>$B$2*'Tariff Rand Values Old'!O62</f>
        <v>113503.38745734486</v>
      </c>
      <c r="P62" s="603">
        <f>$B$2*'Tariff Rand Values Old'!P62</f>
        <v>113503.38745734486</v>
      </c>
      <c r="Q62" s="603">
        <f>$B$2*'Tariff Rand Values Old'!Q62</f>
        <v>113503.38745734486</v>
      </c>
      <c r="R62" s="603">
        <f>$B$2*'Tariff Rand Values Old'!R62</f>
        <v>113503.38745734486</v>
      </c>
      <c r="S62" s="603">
        <f>$B$2*'Tariff Rand Values Old'!S62</f>
        <v>113503.38745734486</v>
      </c>
      <c r="T62" s="603">
        <f>$B$2*'Tariff Rand Values Old'!T62</f>
        <v>113503.38745734486</v>
      </c>
      <c r="U62" s="603">
        <f>$B$2*'Tariff Rand Values Old'!U62</f>
        <v>113503.38745734486</v>
      </c>
      <c r="V62" s="605">
        <f>SUM(L62:T62)</f>
        <v>1021530.487116104</v>
      </c>
      <c r="W62" s="605">
        <f>U62+J62+K62</f>
        <v>340510.16237203457</v>
      </c>
    </row>
    <row r="63" spans="1:24" x14ac:dyDescent="0.35">
      <c r="A63" s="311" t="s">
        <v>518</v>
      </c>
      <c r="B63" s="311" t="s">
        <v>518</v>
      </c>
      <c r="C63" s="311" t="s">
        <v>517</v>
      </c>
      <c r="D63" s="311" t="s">
        <v>517</v>
      </c>
      <c r="E63" s="245" t="s">
        <v>517</v>
      </c>
      <c r="F63" s="245" t="s">
        <v>517</v>
      </c>
      <c r="I63" s="604">
        <f>SUM(J63:U63)</f>
        <v>2054662.447279158</v>
      </c>
      <c r="J63" s="603">
        <f>$B$2*'Tariff Rand Values Old'!J63</f>
        <v>215176.858182</v>
      </c>
      <c r="K63" s="603">
        <f>$B$2*'Tariff Rand Values Old'!K63</f>
        <v>193720.47631199998</v>
      </c>
      <c r="L63" s="603">
        <f>$B$2*'Tariff Rand Values Old'!L63</f>
        <v>169034.100873066</v>
      </c>
      <c r="M63" s="603">
        <f>$B$2*'Tariff Rand Values Old'!M63</f>
        <v>150088.67299047598</v>
      </c>
      <c r="N63" s="603">
        <f>$B$2*'Tariff Rand Values Old'!N63</f>
        <v>146912.84981940599</v>
      </c>
      <c r="O63" s="603">
        <f>$B$2*'Tariff Rand Values Old'!O63</f>
        <v>123528.57024023998</v>
      </c>
      <c r="P63" s="603">
        <f>$B$2*'Tariff Rand Values Old'!P63</f>
        <v>146517.06105918001</v>
      </c>
      <c r="Q63" s="603">
        <f>$B$2*'Tariff Rand Values Old'!Q63</f>
        <v>157767.94837125001</v>
      </c>
      <c r="R63" s="603">
        <f>$B$2*'Tariff Rand Values Old'!R63</f>
        <v>155034.59446818</v>
      </c>
      <c r="S63" s="603">
        <f>$B$2*'Tariff Rand Values Old'!S63</f>
        <v>156714.87151340998</v>
      </c>
      <c r="T63" s="603">
        <f>$B$2*'Tariff Rand Values Old'!T63</f>
        <v>199232.84964870001</v>
      </c>
      <c r="U63" s="603">
        <f>$B$2*'Tariff Rand Values Old'!U63</f>
        <v>240933.59380124995</v>
      </c>
      <c r="V63" s="605">
        <f>SUM(L63:T63)</f>
        <v>1404831.5189839082</v>
      </c>
      <c r="W63" s="605">
        <f>U63+J63+K63</f>
        <v>649830.92829524993</v>
      </c>
    </row>
    <row r="64" spans="1:24" x14ac:dyDescent="0.35">
      <c r="A64" s="311" t="s">
        <v>498</v>
      </c>
      <c r="B64" s="311" t="s">
        <v>503</v>
      </c>
      <c r="C64" s="311" t="s">
        <v>497</v>
      </c>
      <c r="D64" s="311" t="s">
        <v>502</v>
      </c>
      <c r="E64" s="245" t="s">
        <v>497</v>
      </c>
      <c r="F64" s="245" t="s">
        <v>502</v>
      </c>
      <c r="I64" s="604">
        <f>SUM(J64:U64)</f>
        <v>14022168.496836774</v>
      </c>
      <c r="J64" s="603">
        <f>$B$2*'Tariff Rand Values Old'!J64</f>
        <v>1925091.3968747999</v>
      </c>
      <c r="K64" s="603">
        <f>$B$2*'Tariff Rand Values Old'!K64</f>
        <v>1783943.5149162</v>
      </c>
      <c r="L64" s="603">
        <f>$B$2*'Tariff Rand Values Old'!L64</f>
        <v>1030439.9073365628</v>
      </c>
      <c r="M64" s="603">
        <f>$B$2*'Tariff Rand Values Old'!M64</f>
        <v>911504.53776591003</v>
      </c>
      <c r="N64" s="603">
        <f>$B$2*'Tariff Rand Values Old'!N64</f>
        <v>887241.33328298165</v>
      </c>
      <c r="O64" s="603">
        <f>$B$2*'Tariff Rand Values Old'!O64</f>
        <v>719449.8384332424</v>
      </c>
      <c r="P64" s="603">
        <f>$B$2*'Tariff Rand Values Old'!P64</f>
        <v>823728.33596705401</v>
      </c>
      <c r="Q64" s="603">
        <f>$B$2*'Tariff Rand Values Old'!Q64</f>
        <v>853917.01690327202</v>
      </c>
      <c r="R64" s="603">
        <f>$B$2*'Tariff Rand Values Old'!R64</f>
        <v>990314.41201624402</v>
      </c>
      <c r="S64" s="603">
        <f>$B$2*'Tariff Rand Values Old'!S64</f>
        <v>897941.59042044799</v>
      </c>
      <c r="T64" s="603">
        <f>$B$2*'Tariff Rand Values Old'!T64</f>
        <v>1220599.3216570579</v>
      </c>
      <c r="U64" s="603">
        <f>$B$2*'Tariff Rand Values Old'!U64</f>
        <v>1977997.2912630001</v>
      </c>
      <c r="V64" s="605">
        <f>SUM(L64:T64)</f>
        <v>8335136.2937827725</v>
      </c>
      <c r="W64" s="605">
        <f>U64+J64+K64</f>
        <v>5687032.2030539997</v>
      </c>
    </row>
    <row r="65" spans="1:24" x14ac:dyDescent="0.35">
      <c r="A65" s="311" t="s">
        <v>496</v>
      </c>
      <c r="B65" s="311" t="s">
        <v>501</v>
      </c>
      <c r="C65" s="311" t="s">
        <v>495</v>
      </c>
      <c r="D65" s="311" t="s">
        <v>500</v>
      </c>
      <c r="E65" s="245" t="s">
        <v>495</v>
      </c>
      <c r="F65" s="245" t="s">
        <v>500</v>
      </c>
      <c r="I65" s="604">
        <f>SUM(J65:U65)</f>
        <v>20454346.041873518</v>
      </c>
      <c r="J65" s="603">
        <f>$B$2*'Tariff Rand Values Old'!J65</f>
        <v>2822516.9355239999</v>
      </c>
      <c r="K65" s="603">
        <f>$B$2*'Tariff Rand Values Old'!K65</f>
        <v>257852.46576375005</v>
      </c>
      <c r="L65" s="603">
        <f>$B$2*'Tariff Rand Values Old'!L65</f>
        <v>1696893.2090721596</v>
      </c>
      <c r="M65" s="603">
        <f>$B$2*'Tariff Rand Values Old'!M65</f>
        <v>1552588.2921859201</v>
      </c>
      <c r="N65" s="603">
        <f>$B$2*'Tariff Rand Values Old'!N65</f>
        <v>1535310.31115616</v>
      </c>
      <c r="O65" s="603">
        <f>$B$2*'Tariff Rand Values Old'!O65</f>
        <v>1299042.06102528</v>
      </c>
      <c r="P65" s="603">
        <f>$B$2*'Tariff Rand Values Old'!P65</f>
        <v>1508838.5080384</v>
      </c>
      <c r="Q65" s="603">
        <f>$B$2*'Tariff Rand Values Old'!Q65</f>
        <v>1525530.7228615999</v>
      </c>
      <c r="R65" s="603">
        <f>$B$2*'Tariff Rand Values Old'!R65</f>
        <v>1741385.1333087997</v>
      </c>
      <c r="S65" s="603">
        <f>$B$2*'Tariff Rand Values Old'!S65</f>
        <v>1543749.6744599999</v>
      </c>
      <c r="T65" s="603">
        <f>$B$2*'Tariff Rand Values Old'!T65</f>
        <v>2010904.3145912001</v>
      </c>
      <c r="U65" s="603">
        <f>$B$2*'Tariff Rand Values Old'!U65</f>
        <v>2959734.41388625</v>
      </c>
      <c r="V65" s="605">
        <f>SUM(L65:T65)</f>
        <v>14414242.22669952</v>
      </c>
      <c r="W65" s="605">
        <f>U65+J65+K65</f>
        <v>6040103.8151740003</v>
      </c>
    </row>
    <row r="66" spans="1:24" x14ac:dyDescent="0.35">
      <c r="A66" s="311" t="s">
        <v>492</v>
      </c>
      <c r="B66" s="311" t="s">
        <v>494</v>
      </c>
      <c r="C66" s="311" t="s">
        <v>499</v>
      </c>
      <c r="D66" s="311" t="s">
        <v>493</v>
      </c>
      <c r="E66" s="245" t="s">
        <v>499</v>
      </c>
      <c r="F66" s="245" t="s">
        <v>493</v>
      </c>
      <c r="I66" s="604">
        <f>SUM(J66:U66)</f>
        <v>19264876.300311606</v>
      </c>
      <c r="J66" s="603">
        <f>$B$2*'Tariff Rand Values Old'!J66</f>
        <v>2379707.9197122003</v>
      </c>
      <c r="K66" s="603">
        <f>$B$2*'Tariff Rand Values Old'!K66</f>
        <v>2452237.3779419996</v>
      </c>
      <c r="L66" s="603">
        <f>$B$2*'Tariff Rand Values Old'!L66</f>
        <v>1293688.4418059711</v>
      </c>
      <c r="M66" s="603">
        <f>$B$2*'Tariff Rand Values Old'!M66</f>
        <v>1307434.0301809779</v>
      </c>
      <c r="N66" s="603">
        <f>$B$2*'Tariff Rand Values Old'!N66</f>
        <v>1187533.7041435298</v>
      </c>
      <c r="O66" s="603">
        <f>$B$2*'Tariff Rand Values Old'!O66</f>
        <v>1207090.7487916993</v>
      </c>
      <c r="P66" s="603">
        <f>$B$2*'Tariff Rand Values Old'!P66</f>
        <v>1331871.0926744721</v>
      </c>
      <c r="Q66" s="603">
        <f>$B$2*'Tariff Rand Values Old'!Q66</f>
        <v>1205066.275410648</v>
      </c>
      <c r="R66" s="603">
        <f>$B$2*'Tariff Rand Values Old'!R66</f>
        <v>1333264.7309418081</v>
      </c>
      <c r="S66" s="603">
        <f>$B$2*'Tariff Rand Values Old'!S66</f>
        <v>1419559.2250324802</v>
      </c>
      <c r="T66" s="603">
        <f>$B$2*'Tariff Rand Values Old'!T66</f>
        <v>1650365.2401798239</v>
      </c>
      <c r="U66" s="603">
        <f>$B$2*'Tariff Rand Values Old'!U66</f>
        <v>2497057.5134959999</v>
      </c>
      <c r="V66" s="605">
        <f>SUM(L66:T66)</f>
        <v>11935873.489161409</v>
      </c>
      <c r="W66" s="605">
        <f>U66+J66+K66</f>
        <v>7329002.8111501997</v>
      </c>
    </row>
    <row r="67" spans="1:24" x14ac:dyDescent="0.35">
      <c r="A67" s="247" t="s">
        <v>271</v>
      </c>
      <c r="I67" s="601">
        <f>SUM(I68:I72)</f>
        <v>76800442.071887791</v>
      </c>
      <c r="J67" s="602"/>
      <c r="K67" s="602"/>
      <c r="L67" s="602"/>
      <c r="M67" s="602"/>
      <c r="N67" s="602"/>
      <c r="O67" s="602"/>
      <c r="P67" s="602"/>
      <c r="Q67" s="602"/>
      <c r="R67" s="602"/>
      <c r="S67" s="602"/>
      <c r="T67" s="602"/>
      <c r="U67" s="602"/>
      <c r="V67" s="603">
        <f>+V66+V65+V64+V63+V62</f>
        <v>37111614.015743718</v>
      </c>
      <c r="W67" s="603">
        <f>+W66+W65+W64+W63+W62</f>
        <v>20046479.920045484</v>
      </c>
      <c r="X67" s="245">
        <f>+V67+W67</f>
        <v>57158093.935789198</v>
      </c>
    </row>
    <row r="68" spans="1:24" x14ac:dyDescent="0.35">
      <c r="A68" s="311" t="s">
        <v>342</v>
      </c>
      <c r="B68" s="311" t="s">
        <v>342</v>
      </c>
      <c r="C68" s="311" t="s">
        <v>1062</v>
      </c>
      <c r="D68" s="328" t="s">
        <v>1387</v>
      </c>
      <c r="E68" s="245" t="s">
        <v>1062</v>
      </c>
      <c r="F68" s="245" t="s">
        <v>1062</v>
      </c>
      <c r="I68" s="604">
        <f>SUM(J68:U68)</f>
        <v>7187792.548344777</v>
      </c>
      <c r="J68" s="603">
        <f>$B$2*'Tariff Rand Values Old'!J68</f>
        <v>598982.71236206463</v>
      </c>
      <c r="K68" s="603">
        <f>$B$2*'Tariff Rand Values Old'!K68</f>
        <v>598982.71236206463</v>
      </c>
      <c r="L68" s="603">
        <f>$B$2*'Tariff Rand Values Old'!L68</f>
        <v>598982.71236206463</v>
      </c>
      <c r="M68" s="603">
        <f>$B$2*'Tariff Rand Values Old'!M68</f>
        <v>598982.71236206463</v>
      </c>
      <c r="N68" s="603">
        <f>$B$2*'Tariff Rand Values Old'!N68</f>
        <v>598982.71236206463</v>
      </c>
      <c r="O68" s="603">
        <f>$B$2*'Tariff Rand Values Old'!O68</f>
        <v>598982.71236206463</v>
      </c>
      <c r="P68" s="603">
        <f>$B$2*'Tariff Rand Values Old'!P68</f>
        <v>598982.71236206463</v>
      </c>
      <c r="Q68" s="603">
        <f>$B$2*'Tariff Rand Values Old'!Q68</f>
        <v>598982.71236206463</v>
      </c>
      <c r="R68" s="603">
        <f>$B$2*'Tariff Rand Values Old'!R68</f>
        <v>598982.71236206463</v>
      </c>
      <c r="S68" s="603">
        <f>$B$2*'Tariff Rand Values Old'!S68</f>
        <v>598982.71236206463</v>
      </c>
      <c r="T68" s="603">
        <f>$B$2*'Tariff Rand Values Old'!T68</f>
        <v>598982.71236206463</v>
      </c>
      <c r="U68" s="603">
        <f>$B$2*'Tariff Rand Values Old'!U68</f>
        <v>598982.71236206463</v>
      </c>
      <c r="V68" s="605">
        <f>SUM(L68:T68)</f>
        <v>5390844.411258582</v>
      </c>
      <c r="W68" s="605">
        <f>U68+J68+K68</f>
        <v>1796948.137086194</v>
      </c>
    </row>
    <row r="69" spans="1:24" x14ac:dyDescent="0.35">
      <c r="A69" s="311" t="s">
        <v>272</v>
      </c>
      <c r="B69" s="311" t="s">
        <v>272</v>
      </c>
      <c r="C69" s="311" t="s">
        <v>1063</v>
      </c>
      <c r="D69" s="311" t="s">
        <v>1063</v>
      </c>
      <c r="E69" s="245" t="s">
        <v>1063</v>
      </c>
      <c r="F69" s="245" t="s">
        <v>1063</v>
      </c>
      <c r="I69" s="604">
        <f>SUM(J69:U69)</f>
        <v>2122589.4702949994</v>
      </c>
      <c r="J69" s="603">
        <f>$B$2*'Tariff Rand Values Old'!J69</f>
        <v>221993.69865399998</v>
      </c>
      <c r="K69" s="603">
        <f>$B$2*'Tariff Rand Values Old'!K69</f>
        <v>208639.80568200001</v>
      </c>
      <c r="L69" s="603">
        <f>$B$2*'Tariff Rand Values Old'!L69</f>
        <v>191297.47122499999</v>
      </c>
      <c r="M69" s="603">
        <f>$B$2*'Tariff Rand Values Old'!M69</f>
        <v>171177.99973399995</v>
      </c>
      <c r="N69" s="603">
        <f>$B$2*'Tariff Rand Values Old'!N69</f>
        <v>163526.10088499999</v>
      </c>
      <c r="O69" s="603">
        <f>$B$2*'Tariff Rand Values Old'!O69</f>
        <v>139122.747799</v>
      </c>
      <c r="P69" s="603">
        <f>$B$2*'Tariff Rand Values Old'!P69</f>
        <v>149551.78368199998</v>
      </c>
      <c r="Q69" s="603">
        <f>$B$2*'Tariff Rand Values Old'!Q69</f>
        <v>145149.726043</v>
      </c>
      <c r="R69" s="603">
        <f>$B$2*'Tariff Rand Values Old'!R69</f>
        <v>153185.69703499999</v>
      </c>
      <c r="S69" s="603">
        <f>$B$2*'Tariff Rand Values Old'!S69</f>
        <v>157469.57862999997</v>
      </c>
      <c r="T69" s="603">
        <f>$B$2*'Tariff Rand Values Old'!T69</f>
        <v>200840.18677799997</v>
      </c>
      <c r="U69" s="603">
        <f>$B$2*'Tariff Rand Values Old'!U69</f>
        <v>220634.67414799999</v>
      </c>
      <c r="V69" s="605">
        <f>SUM(L69:T69)</f>
        <v>1471321.2918109996</v>
      </c>
      <c r="W69" s="605">
        <f>U69+J69+K69</f>
        <v>651268.17848400003</v>
      </c>
    </row>
    <row r="70" spans="1:24" x14ac:dyDescent="0.35">
      <c r="A70" s="311" t="s">
        <v>349</v>
      </c>
      <c r="B70" s="311" t="s">
        <v>345</v>
      </c>
      <c r="C70" s="311" t="s">
        <v>878</v>
      </c>
      <c r="D70" s="311" t="s">
        <v>881</v>
      </c>
      <c r="E70" s="245" t="s">
        <v>878</v>
      </c>
      <c r="F70" s="245" t="s">
        <v>881</v>
      </c>
      <c r="I70" s="604">
        <f>SUM(J70:U70)</f>
        <v>16336303.483585404</v>
      </c>
      <c r="J70" s="603">
        <f>$B$2*'Tariff Rand Values Old'!J70</f>
        <v>2268519.9355839998</v>
      </c>
      <c r="K70" s="603">
        <f>$B$2*'Tariff Rand Values Old'!K70</f>
        <v>2197334.2399232001</v>
      </c>
      <c r="L70" s="603">
        <f>$B$2*'Tariff Rand Values Old'!L70</f>
        <v>1309533.0804920001</v>
      </c>
      <c r="M70" s="603">
        <f>$B$2*'Tariff Rand Values Old'!M70</f>
        <v>1147354.646158</v>
      </c>
      <c r="N70" s="603">
        <f>$B$2*'Tariff Rand Values Old'!N70</f>
        <v>1094603.551706</v>
      </c>
      <c r="O70" s="603">
        <f>$B$2*'Tariff Rand Values Old'!O70</f>
        <v>843415.89930639998</v>
      </c>
      <c r="P70" s="603">
        <f>$B$2*'Tariff Rand Values Old'!P70</f>
        <v>897726.04905340006</v>
      </c>
      <c r="Q70" s="603">
        <f>$B$2*'Tariff Rand Values Old'!Q70</f>
        <v>830147.42165460007</v>
      </c>
      <c r="R70" s="603">
        <f>$B$2*'Tariff Rand Values Old'!R70</f>
        <v>1044695.440439</v>
      </c>
      <c r="S70" s="603">
        <f>$B$2*'Tariff Rand Values Old'!S70</f>
        <v>965062.56433580013</v>
      </c>
      <c r="T70" s="603">
        <f>$B$2*'Tariff Rand Values Old'!T70</f>
        <v>1405846.014069</v>
      </c>
      <c r="U70" s="603">
        <f>$B$2*'Tariff Rand Values Old'!U70</f>
        <v>2332064.6408640002</v>
      </c>
      <c r="V70" s="605">
        <f>SUM(L70:T70)</f>
        <v>9538384.667214198</v>
      </c>
      <c r="W70" s="605">
        <f>U70+J70+K70</f>
        <v>6797918.8163712006</v>
      </c>
    </row>
    <row r="71" spans="1:24" x14ac:dyDescent="0.35">
      <c r="A71" s="311" t="s">
        <v>353</v>
      </c>
      <c r="B71" s="311" t="s">
        <v>273</v>
      </c>
      <c r="C71" s="311" t="s">
        <v>877</v>
      </c>
      <c r="D71" s="311" t="s">
        <v>880</v>
      </c>
      <c r="E71" s="245" t="s">
        <v>877</v>
      </c>
      <c r="F71" s="245" t="s">
        <v>880</v>
      </c>
      <c r="I71" s="604">
        <f>SUM(J71:U71)</f>
        <v>28768942.408164002</v>
      </c>
      <c r="J71" s="603">
        <f>$B$2*'Tariff Rand Values Old'!J71</f>
        <v>3985291.4785067998</v>
      </c>
      <c r="K71" s="603">
        <f>$B$2*'Tariff Rand Values Old'!K71</f>
        <v>3818941.6227423991</v>
      </c>
      <c r="L71" s="603">
        <f>$B$2*'Tariff Rand Values Old'!L71</f>
        <v>2236382.7789239995</v>
      </c>
      <c r="M71" s="603">
        <f>$B$2*'Tariff Rand Values Old'!M71</f>
        <v>2042549.1880528</v>
      </c>
      <c r="N71" s="603">
        <f>$B$2*'Tariff Rand Values Old'!N71</f>
        <v>1952154.6899875996</v>
      </c>
      <c r="O71" s="603">
        <f>$B$2*'Tariff Rand Values Old'!O71</f>
        <v>1534566.2448731998</v>
      </c>
      <c r="P71" s="603">
        <f>$B$2*'Tariff Rand Values Old'!P71</f>
        <v>1653593.6881772</v>
      </c>
      <c r="Q71" s="603">
        <f>$B$2*'Tariff Rand Values Old'!Q71</f>
        <v>1487400.6489944002</v>
      </c>
      <c r="R71" s="603">
        <f>$B$2*'Tariff Rand Values Old'!R71</f>
        <v>1857509.638824</v>
      </c>
      <c r="S71" s="603">
        <f>$B$2*'Tariff Rand Values Old'!S71</f>
        <v>1684626.9105875997</v>
      </c>
      <c r="T71" s="603">
        <f>$B$2*'Tariff Rand Values Old'!T71</f>
        <v>2417548.4063415998</v>
      </c>
      <c r="U71" s="603">
        <f>$B$2*'Tariff Rand Values Old'!U71</f>
        <v>4098377.1121523995</v>
      </c>
      <c r="V71" s="605">
        <f>SUM(L71:T71)</f>
        <v>16866332.194762398</v>
      </c>
      <c r="W71" s="605">
        <f>U71+J71+K71</f>
        <v>11902610.213401599</v>
      </c>
    </row>
    <row r="72" spans="1:24" x14ac:dyDescent="0.35">
      <c r="A72" s="311" t="s">
        <v>351</v>
      </c>
      <c r="B72" s="311" t="s">
        <v>274</v>
      </c>
      <c r="C72" s="311" t="s">
        <v>879</v>
      </c>
      <c r="D72" s="311" t="s">
        <v>882</v>
      </c>
      <c r="E72" s="245" t="s">
        <v>879</v>
      </c>
      <c r="F72" s="245" t="s">
        <v>882</v>
      </c>
      <c r="I72" s="604">
        <f>SUM(J72:U72)</f>
        <v>22384814.161498602</v>
      </c>
      <c r="J72" s="603">
        <f>$B$2*'Tariff Rand Values Old'!J72</f>
        <v>2790828.4045936</v>
      </c>
      <c r="K72" s="603">
        <f>$B$2*'Tariff Rand Values Old'!K72</f>
        <v>3019769.4308711998</v>
      </c>
      <c r="L72" s="603">
        <f>$B$2*'Tariff Rand Values Old'!L72</f>
        <v>1658007.7606749998</v>
      </c>
      <c r="M72" s="603">
        <f>$B$2*'Tariff Rand Values Old'!M72</f>
        <v>1673897.7354750002</v>
      </c>
      <c r="N72" s="603">
        <f>$B$2*'Tariff Rand Values Old'!N72</f>
        <v>1474520.1642500001</v>
      </c>
      <c r="O72" s="603">
        <f>$B$2*'Tariff Rand Values Old'!O72</f>
        <v>1395462.8206749998</v>
      </c>
      <c r="P72" s="603">
        <f>$B$2*'Tariff Rand Values Old'!P72</f>
        <v>1460644.320975</v>
      </c>
      <c r="Q72" s="603">
        <f>$B$2*'Tariff Rand Values Old'!Q72</f>
        <v>1165148.2750250001</v>
      </c>
      <c r="R72" s="603">
        <f>$B$2*'Tariff Rand Values Old'!R72</f>
        <v>1386610.5088500001</v>
      </c>
      <c r="S72" s="603">
        <f>$B$2*'Tariff Rand Values Old'!S72</f>
        <v>1522396.0062499999</v>
      </c>
      <c r="T72" s="603">
        <f>$B$2*'Tariff Rand Values Old'!T72</f>
        <v>1939619.3834500005</v>
      </c>
      <c r="U72" s="603">
        <f>$B$2*'Tariff Rand Values Old'!U72</f>
        <v>2897909.3504087999</v>
      </c>
      <c r="V72" s="605">
        <f>SUM(L72:T72)</f>
        <v>13676306.975625001</v>
      </c>
      <c r="W72" s="605">
        <f>U72+J72+K72</f>
        <v>8708507.1858735997</v>
      </c>
    </row>
    <row r="73" spans="1:24" x14ac:dyDescent="0.35">
      <c r="A73" s="247" t="s">
        <v>547</v>
      </c>
      <c r="I73" s="601">
        <f>SUM(I74:I76)</f>
        <v>5684879.0680841375</v>
      </c>
      <c r="J73" s="602"/>
      <c r="K73" s="602"/>
      <c r="L73" s="602"/>
      <c r="M73" s="602"/>
      <c r="N73" s="602"/>
      <c r="O73" s="602"/>
      <c r="P73" s="602"/>
      <c r="Q73" s="602"/>
      <c r="R73" s="602"/>
      <c r="S73" s="602"/>
      <c r="T73" s="602"/>
      <c r="U73" s="602"/>
      <c r="V73" s="603">
        <f>+V72+V71+V70+V69+V68</f>
        <v>46943189.54067117</v>
      </c>
      <c r="W73" s="603">
        <f>+W72+W71+W70+W69+W68</f>
        <v>29857252.531216595</v>
      </c>
      <c r="X73" s="245">
        <f>+V73+W73</f>
        <v>76800442.071887761</v>
      </c>
    </row>
    <row r="74" spans="1:24" x14ac:dyDescent="0.35">
      <c r="A74" s="311" t="s">
        <v>489</v>
      </c>
      <c r="B74" s="311" t="s">
        <v>276</v>
      </c>
      <c r="C74" s="311" t="s">
        <v>488</v>
      </c>
      <c r="D74" s="311" t="s">
        <v>822</v>
      </c>
      <c r="E74" s="245" t="s">
        <v>488</v>
      </c>
      <c r="F74" s="245" t="s">
        <v>822</v>
      </c>
      <c r="I74" s="604">
        <f>SUM(J74:U74)</f>
        <v>1361175.2968573926</v>
      </c>
      <c r="J74" s="603">
        <f>$B$2*'Tariff Rand Values Old'!J74</f>
        <v>154202.251552384</v>
      </c>
      <c r="K74" s="603">
        <f>$B$2*'Tariff Rand Values Old'!K74</f>
        <v>133441.42605592959</v>
      </c>
      <c r="L74" s="603">
        <f>$B$2*'Tariff Rand Values Old'!L74</f>
        <v>80065.637892072016</v>
      </c>
      <c r="M74" s="603">
        <f>$B$2*'Tariff Rand Values Old'!M74</f>
        <v>98158.245945732007</v>
      </c>
      <c r="N74" s="603">
        <f>$B$2*'Tariff Rand Values Old'!N74</f>
        <v>97747.735882608016</v>
      </c>
      <c r="O74" s="603">
        <f>$B$2*'Tariff Rand Values Old'!O74</f>
        <v>76933.039534974014</v>
      </c>
      <c r="P74" s="603">
        <f>$B$2*'Tariff Rand Values Old'!P74</f>
        <v>109899.75182470201</v>
      </c>
      <c r="Q74" s="603">
        <f>$B$2*'Tariff Rand Values Old'!Q74</f>
        <v>113510.40423294601</v>
      </c>
      <c r="R74" s="603">
        <f>$B$2*'Tariff Rand Values Old'!R74</f>
        <v>108862.547218992</v>
      </c>
      <c r="S74" s="603">
        <f>$B$2*'Tariff Rand Values Old'!S74</f>
        <v>99845.534112534006</v>
      </c>
      <c r="T74" s="603">
        <f>$B$2*'Tariff Rand Values Old'!T74</f>
        <v>103241.75075298001</v>
      </c>
      <c r="U74" s="603">
        <f>$B$2*'Tariff Rand Values Old'!U74</f>
        <v>185266.97185153919</v>
      </c>
      <c r="V74" s="605">
        <f>SUM(L74:T74)</f>
        <v>888264.64739754016</v>
      </c>
      <c r="W74" s="605">
        <f>U74+J74+K74</f>
        <v>472910.64945985284</v>
      </c>
    </row>
    <row r="75" spans="1:24" x14ac:dyDescent="0.35">
      <c r="A75" s="311" t="s">
        <v>487</v>
      </c>
      <c r="B75" s="311" t="s">
        <v>277</v>
      </c>
      <c r="C75" s="311" t="s">
        <v>486</v>
      </c>
      <c r="D75" s="311" t="s">
        <v>821</v>
      </c>
      <c r="E75" s="245" t="s">
        <v>486</v>
      </c>
      <c r="F75" s="245" t="s">
        <v>821</v>
      </c>
      <c r="I75" s="604">
        <f>SUM(J75:U75)</f>
        <v>2067180.5796487997</v>
      </c>
      <c r="J75" s="603">
        <f>$B$2*'Tariff Rand Values Old'!J75</f>
        <v>202138.1831270312</v>
      </c>
      <c r="K75" s="603">
        <f>$B$2*'Tariff Rand Values Old'!K75</f>
        <v>183211.21938072238</v>
      </c>
      <c r="L75" s="603">
        <f>$B$2*'Tariff Rand Values Old'!L75</f>
        <v>127708.563224592</v>
      </c>
      <c r="M75" s="603">
        <f>$B$2*'Tariff Rand Values Old'!M75</f>
        <v>157226.95360789198</v>
      </c>
      <c r="N75" s="603">
        <f>$B$2*'Tariff Rand Values Old'!N75</f>
        <v>151743.94974706799</v>
      </c>
      <c r="O75" s="603">
        <f>$B$2*'Tariff Rand Values Old'!O75</f>
        <v>125215.20793152001</v>
      </c>
      <c r="P75" s="603">
        <f>$B$2*'Tariff Rand Values Old'!P75</f>
        <v>177683.637065844</v>
      </c>
      <c r="Q75" s="603">
        <f>$B$2*'Tariff Rand Values Old'!Q75</f>
        <v>182135.34626674798</v>
      </c>
      <c r="R75" s="603">
        <f>$B$2*'Tariff Rand Values Old'!R75</f>
        <v>180620.891441088</v>
      </c>
      <c r="S75" s="603">
        <f>$B$2*'Tariff Rand Values Old'!S75</f>
        <v>166191.475527084</v>
      </c>
      <c r="T75" s="603">
        <f>$B$2*'Tariff Rand Values Old'!T75</f>
        <v>163696.461314988</v>
      </c>
      <c r="U75" s="603">
        <f>$B$2*'Tariff Rand Values Old'!U75</f>
        <v>249608.69101422236</v>
      </c>
      <c r="V75" s="605">
        <f>SUM(L75:T75)</f>
        <v>1432222.486126824</v>
      </c>
      <c r="W75" s="605">
        <f>U75+J75+K75</f>
        <v>634958.09352197591</v>
      </c>
    </row>
    <row r="76" spans="1:24" x14ac:dyDescent="0.35">
      <c r="A76" s="311" t="s">
        <v>480</v>
      </c>
      <c r="B76" s="311" t="s">
        <v>278</v>
      </c>
      <c r="C76" s="311" t="s">
        <v>482</v>
      </c>
      <c r="D76" s="311" t="s">
        <v>823</v>
      </c>
      <c r="E76" s="245" t="s">
        <v>482</v>
      </c>
      <c r="F76" s="245" t="s">
        <v>823</v>
      </c>
      <c r="I76" s="604">
        <f>SUM(J76:U76)</f>
        <v>2256523.1915779449</v>
      </c>
      <c r="J76" s="603">
        <f>$B$2*'Tariff Rand Values Old'!J76</f>
        <v>220880.29478109835</v>
      </c>
      <c r="K76" s="603">
        <f>$B$2*'Tariff Rand Values Old'!K76</f>
        <v>250451.59102529997</v>
      </c>
      <c r="L76" s="603">
        <f>$B$2*'Tariff Rand Values Old'!L76</f>
        <v>138806.60416419999</v>
      </c>
      <c r="M76" s="603">
        <f>$B$2*'Tariff Rand Values Old'!M76</f>
        <v>153909.94757600001</v>
      </c>
      <c r="N76" s="603">
        <f>$B$2*'Tariff Rand Values Old'!N76</f>
        <v>151871.55409894997</v>
      </c>
      <c r="O76" s="603">
        <f>$B$2*'Tariff Rand Values Old'!O76</f>
        <v>174248.45132379999</v>
      </c>
      <c r="P76" s="603">
        <f>$B$2*'Tariff Rand Values Old'!P76</f>
        <v>177022.80382919998</v>
      </c>
      <c r="Q76" s="603">
        <f>$B$2*'Tariff Rand Values Old'!Q76</f>
        <v>174305.65204149997</v>
      </c>
      <c r="R76" s="603">
        <f>$B$2*'Tariff Rand Values Old'!R76</f>
        <v>197649.66510449999</v>
      </c>
      <c r="S76" s="603">
        <f>$B$2*'Tariff Rand Values Old'!S76</f>
        <v>179586.59649104998</v>
      </c>
      <c r="T76" s="603">
        <f>$B$2*'Tariff Rand Values Old'!T76</f>
        <v>160472.61181104998</v>
      </c>
      <c r="U76" s="603">
        <f>$B$2*'Tariff Rand Values Old'!U76</f>
        <v>277317.41933129641</v>
      </c>
      <c r="V76" s="605">
        <f>SUM(L76:T76)</f>
        <v>1507873.8864402499</v>
      </c>
      <c r="W76" s="605">
        <f>U76+J76+K76</f>
        <v>748649.3051376947</v>
      </c>
    </row>
    <row r="77" spans="1:24" x14ac:dyDescent="0.35">
      <c r="A77" s="247" t="s">
        <v>1478</v>
      </c>
      <c r="I77" s="601">
        <f>SUM(I78:I80)</f>
        <v>1161249.3179450033</v>
      </c>
      <c r="J77" s="602"/>
      <c r="K77" s="602"/>
      <c r="L77" s="602"/>
      <c r="M77" s="602"/>
      <c r="N77" s="602"/>
      <c r="O77" s="602"/>
      <c r="P77" s="602"/>
      <c r="Q77" s="602"/>
      <c r="R77" s="602"/>
      <c r="S77" s="602"/>
      <c r="T77" s="602"/>
      <c r="U77" s="602"/>
      <c r="V77" s="603">
        <f>+V76+V75+V74</f>
        <v>3828361.019964614</v>
      </c>
      <c r="W77" s="603">
        <f>+W76+W75+W74</f>
        <v>1856518.0481195236</v>
      </c>
      <c r="X77" s="245">
        <f>+W77+V77</f>
        <v>5684879.0680841375</v>
      </c>
    </row>
    <row r="78" spans="1:24" x14ac:dyDescent="0.35">
      <c r="A78" s="311" t="s">
        <v>507</v>
      </c>
      <c r="B78" s="311" t="s">
        <v>443</v>
      </c>
      <c r="C78" s="311" t="s">
        <v>506</v>
      </c>
      <c r="D78" s="311" t="s">
        <v>1053</v>
      </c>
      <c r="E78" s="245" t="s">
        <v>506</v>
      </c>
      <c r="F78" s="245" t="s">
        <v>1053</v>
      </c>
      <c r="I78" s="604">
        <f>SUM(J78:U78)</f>
        <v>318524.57121599792</v>
      </c>
      <c r="J78" s="603">
        <f>$B$2*'Tariff Rand Values Old'!J78</f>
        <v>35487.269963779203</v>
      </c>
      <c r="K78" s="603">
        <f>$B$2*'Tariff Rand Values Old'!K78</f>
        <v>31871.586660984001</v>
      </c>
      <c r="L78" s="603">
        <f>$B$2*'Tariff Rand Values Old'!L78</f>
        <v>14816.806430076</v>
      </c>
      <c r="M78" s="603">
        <f>$B$2*'Tariff Rand Values Old'!M78</f>
        <v>18700.189652911198</v>
      </c>
      <c r="N78" s="603">
        <f>$B$2*'Tariff Rand Values Old'!N78</f>
        <v>16942.843528648798</v>
      </c>
      <c r="O78" s="603">
        <f>$B$2*'Tariff Rand Values Old'!O78</f>
        <v>16649.156608425597</v>
      </c>
      <c r="P78" s="603">
        <f>$B$2*'Tariff Rand Values Old'!P78</f>
        <v>24239.309162207999</v>
      </c>
      <c r="Q78" s="603">
        <f>$B$2*'Tariff Rand Values Old'!Q78</f>
        <v>24145.866769407599</v>
      </c>
      <c r="R78" s="603">
        <f>$B$2*'Tariff Rand Values Old'!R78</f>
        <v>22812.071835873598</v>
      </c>
      <c r="S78" s="603">
        <f>$B$2*'Tariff Rand Values Old'!S78</f>
        <v>21812.687347634401</v>
      </c>
      <c r="T78" s="603">
        <f>$B$2*'Tariff Rand Values Old'!T78</f>
        <v>28879.213821947997</v>
      </c>
      <c r="U78" s="603">
        <f>$B$2*'Tariff Rand Values Old'!U78</f>
        <v>62167.569434101606</v>
      </c>
      <c r="V78" s="605">
        <f>SUM(L78:T78)</f>
        <v>188998.14515713317</v>
      </c>
      <c r="W78" s="605">
        <f>U78+J78+K78</f>
        <v>129526.4260588648</v>
      </c>
    </row>
    <row r="79" spans="1:24" x14ac:dyDescent="0.35">
      <c r="A79" s="311" t="s">
        <v>505</v>
      </c>
      <c r="B79" s="311" t="s">
        <v>445</v>
      </c>
      <c r="C79" s="311" t="s">
        <v>504</v>
      </c>
      <c r="D79" s="311" t="s">
        <v>1052</v>
      </c>
      <c r="E79" s="245" t="s">
        <v>504</v>
      </c>
      <c r="F79" s="245" t="s">
        <v>1052</v>
      </c>
      <c r="I79" s="604">
        <f>SUM(J79:U79)</f>
        <v>460071.48162094801</v>
      </c>
      <c r="J79" s="603">
        <f>$B$2*'Tariff Rand Values Old'!J79</f>
        <v>48624.942700224005</v>
      </c>
      <c r="K79" s="603">
        <f>$B$2*'Tariff Rand Values Old'!K79</f>
        <v>46126.297498248001</v>
      </c>
      <c r="L79" s="603">
        <f>$B$2*'Tariff Rand Values Old'!L79</f>
        <v>22364.181818265602</v>
      </c>
      <c r="M79" s="603">
        <f>$B$2*'Tariff Rand Values Old'!M79</f>
        <v>28788.032800665602</v>
      </c>
      <c r="N79" s="603">
        <f>$B$2*'Tariff Rand Values Old'!N79</f>
        <v>26612.873141836801</v>
      </c>
      <c r="O79" s="603">
        <f>$B$2*'Tariff Rand Values Old'!O79</f>
        <v>25952.734413849601</v>
      </c>
      <c r="P79" s="603">
        <f>$B$2*'Tariff Rand Values Old'!P79</f>
        <v>39232.655902310398</v>
      </c>
      <c r="Q79" s="603">
        <f>$B$2*'Tariff Rand Values Old'!Q79</f>
        <v>39061.749893376</v>
      </c>
      <c r="R79" s="603">
        <f>$B$2*'Tariff Rand Values Old'!R79</f>
        <v>38287.791212159995</v>
      </c>
      <c r="S79" s="603">
        <f>$B$2*'Tariff Rand Values Old'!S79</f>
        <v>32805.647639654395</v>
      </c>
      <c r="T79" s="603">
        <f>$B$2*'Tariff Rand Values Old'!T79</f>
        <v>38883.07211765759</v>
      </c>
      <c r="U79" s="603">
        <f>$B$2*'Tariff Rand Values Old'!U79</f>
        <v>73331.502482700002</v>
      </c>
      <c r="V79" s="605">
        <f>SUM(L79:T79)</f>
        <v>291988.73893977597</v>
      </c>
      <c r="W79" s="605">
        <f>U79+J79+K79</f>
        <v>168082.74268117201</v>
      </c>
    </row>
    <row r="80" spans="1:24" x14ac:dyDescent="0.35">
      <c r="A80" s="311" t="s">
        <v>509</v>
      </c>
      <c r="B80" s="311" t="s">
        <v>441</v>
      </c>
      <c r="C80" s="311" t="s">
        <v>508</v>
      </c>
      <c r="D80" s="311" t="s">
        <v>1054</v>
      </c>
      <c r="E80" s="245" t="s">
        <v>508</v>
      </c>
      <c r="F80" s="245" t="s">
        <v>1054</v>
      </c>
      <c r="I80" s="604">
        <f>SUM(J80:U80)</f>
        <v>382653.26510805724</v>
      </c>
      <c r="J80" s="603">
        <f>$B$2*'Tariff Rand Values Old'!J80</f>
        <v>48791.846886364809</v>
      </c>
      <c r="K80" s="603">
        <f>$B$2*'Tariff Rand Values Old'!K80</f>
        <v>51095.498038559999</v>
      </c>
      <c r="L80" s="603">
        <f>$B$2*'Tariff Rand Values Old'!L80</f>
        <v>20163.834650471996</v>
      </c>
      <c r="M80" s="603">
        <f>$B$2*'Tariff Rand Values Old'!M80</f>
        <v>23208.627268464399</v>
      </c>
      <c r="N80" s="603">
        <f>$B$2*'Tariff Rand Values Old'!N80</f>
        <v>22621.767004505196</v>
      </c>
      <c r="O80" s="603">
        <f>$B$2*'Tariff Rand Values Old'!O80</f>
        <v>26552.998505322797</v>
      </c>
      <c r="P80" s="603">
        <f>$B$2*'Tariff Rand Values Old'!P80</f>
        <v>29583.444653913601</v>
      </c>
      <c r="Q80" s="603">
        <f>$B$2*'Tariff Rand Values Old'!Q80</f>
        <v>25230.8816845316</v>
      </c>
      <c r="R80" s="603">
        <f>$B$2*'Tariff Rand Values Old'!R80</f>
        <v>27898.876666060394</v>
      </c>
      <c r="S80" s="603">
        <f>$B$2*'Tariff Rand Values Old'!S80</f>
        <v>27303.348743504401</v>
      </c>
      <c r="T80" s="603">
        <f>$B$2*'Tariff Rand Values Old'!T80</f>
        <v>26049.078767591596</v>
      </c>
      <c r="U80" s="603">
        <f>$B$2*'Tariff Rand Values Old'!U80</f>
        <v>54153.062238766404</v>
      </c>
      <c r="V80" s="605">
        <f>SUM(L80:T80)</f>
        <v>228612.85794436597</v>
      </c>
      <c r="W80" s="605">
        <f>U80+J80+K80</f>
        <v>154040.40716369121</v>
      </c>
    </row>
    <row r="81" spans="1:24" x14ac:dyDescent="0.35">
      <c r="A81" s="247" t="s">
        <v>1479</v>
      </c>
      <c r="B81" s="248"/>
      <c r="C81" s="248"/>
      <c r="D81" s="248"/>
      <c r="I81" s="601">
        <f>I82</f>
        <v>471154.95291190402</v>
      </c>
      <c r="J81" s="606"/>
      <c r="K81" s="606"/>
      <c r="L81" s="606"/>
      <c r="M81" s="638"/>
      <c r="N81" s="638"/>
      <c r="O81" s="638"/>
      <c r="P81" s="606"/>
      <c r="Q81" s="606"/>
      <c r="R81" s="606"/>
      <c r="S81" s="606"/>
      <c r="T81" s="606"/>
      <c r="U81" s="606"/>
      <c r="V81" s="605">
        <f>+V80+V79+V78</f>
        <v>709599.74204127514</v>
      </c>
      <c r="W81" s="605">
        <f>+W80+W79+W78</f>
        <v>451649.57590372802</v>
      </c>
      <c r="X81" s="245">
        <f>+W81+V81</f>
        <v>1161249.317945003</v>
      </c>
    </row>
    <row r="82" spans="1:24" x14ac:dyDescent="0.35">
      <c r="A82" s="328" t="s">
        <v>1488</v>
      </c>
      <c r="B82" s="328" t="s">
        <v>1488</v>
      </c>
      <c r="C82" s="328" t="s">
        <v>1481</v>
      </c>
      <c r="D82" s="328" t="s">
        <v>1481</v>
      </c>
      <c r="I82" s="604">
        <f>SUM(J82:U82)</f>
        <v>471154.95291190402</v>
      </c>
      <c r="J82" s="603">
        <f>$B$2*'Tariff Rand Values Old'!J82</f>
        <v>35972.699216255998</v>
      </c>
      <c r="K82" s="603">
        <f>$B$2*'Tariff Rand Values Old'!K82</f>
        <v>58584.672155363201</v>
      </c>
      <c r="L82" s="603">
        <f>$B$2*'Tariff Rand Values Old'!L82</f>
        <v>63618.25359097121</v>
      </c>
      <c r="M82" s="603">
        <f>$B$2*'Tariff Rand Values Old'!M82</f>
        <v>33274.943476147993</v>
      </c>
      <c r="N82" s="603">
        <f>$B$2*'Tariff Rand Values Old'!N82</f>
        <v>29958.348158285597</v>
      </c>
      <c r="O82" s="603">
        <f>$B$2*'Tariff Rand Values Old'!O82</f>
        <v>46962.068424454395</v>
      </c>
      <c r="P82" s="603">
        <f>$B$2*'Tariff Rand Values Old'!P82</f>
        <v>25260.499755657602</v>
      </c>
      <c r="Q82" s="603">
        <f>$B$2*'Tariff Rand Values Old'!Q82</f>
        <v>41339.5280980752</v>
      </c>
      <c r="R82" s="603">
        <f>$B$2*'Tariff Rand Values Old'!R82</f>
        <v>18832.343205480003</v>
      </c>
      <c r="S82" s="603">
        <f>$B$2*'Tariff Rand Values Old'!S82</f>
        <v>35815.999958306405</v>
      </c>
      <c r="T82" s="603">
        <f>$B$2*'Tariff Rand Values Old'!T82</f>
        <v>34728.868680542408</v>
      </c>
      <c r="U82" s="603">
        <f>$B$2*'Tariff Rand Values Old'!U82</f>
        <v>46806.728192364004</v>
      </c>
      <c r="V82" s="605">
        <f>SUM(L82:T82)</f>
        <v>329790.85334792081</v>
      </c>
      <c r="W82" s="605">
        <f>U82+J82+K82</f>
        <v>141364.09956398321</v>
      </c>
    </row>
    <row r="83" spans="1:24" x14ac:dyDescent="0.35">
      <c r="A83" s="248" t="s">
        <v>485</v>
      </c>
      <c r="B83" s="248" t="s">
        <v>485</v>
      </c>
      <c r="C83" s="248"/>
      <c r="D83" s="248"/>
      <c r="E83" s="248"/>
      <c r="F83" s="248"/>
      <c r="G83" s="248"/>
      <c r="H83" s="248"/>
      <c r="I83" s="612">
        <f>SUM(J83:U83)</f>
        <v>78055644.340000585</v>
      </c>
      <c r="J83" s="603">
        <f>$B$2*'Tariff Rand Values Old'!J83</f>
        <v>6671913.8423428051</v>
      </c>
      <c r="K83" s="603">
        <f>$B$2*'Tariff Rand Values Old'!K83</f>
        <v>6686825.074069947</v>
      </c>
      <c r="L83" s="603">
        <f>$B$2*'Tariff Rand Values Old'!L83</f>
        <v>6479279.5266168648</v>
      </c>
      <c r="M83" s="603">
        <f>$B$2*'Tariff Rand Values Old'!M83</f>
        <v>6698783.6075349478</v>
      </c>
      <c r="N83" s="603">
        <f>$B$2*'Tariff Rand Values Old'!N83</f>
        <v>6511026.8534995951</v>
      </c>
      <c r="O83" s="603">
        <f>$B$2*'Tariff Rand Values Old'!O83</f>
        <v>6390176.4267119532</v>
      </c>
      <c r="P83" s="603">
        <f>$B$2*'Tariff Rand Values Old'!P83</f>
        <v>6399670.2058440214</v>
      </c>
      <c r="Q83" s="603">
        <f>$B$2*'Tariff Rand Values Old'!Q83</f>
        <v>6448865.2431647368</v>
      </c>
      <c r="R83" s="603">
        <f>$B$2*'Tariff Rand Values Old'!R83</f>
        <v>6611122.5592400795</v>
      </c>
      <c r="S83" s="603">
        <f>$B$2*'Tariff Rand Values Old'!S83</f>
        <v>6367736.585127065</v>
      </c>
      <c r="T83" s="603">
        <f>$B$2*'Tariff Rand Values Old'!T83</f>
        <v>6390176.4267119532</v>
      </c>
      <c r="U83" s="603">
        <f>$B$2*'Tariff Rand Values Old'!U83</f>
        <v>6400067.9891366251</v>
      </c>
      <c r="V83" s="613">
        <f>+V82</f>
        <v>329790.85334792081</v>
      </c>
      <c r="W83" s="613">
        <f>+W82</f>
        <v>141364.09956398321</v>
      </c>
      <c r="X83" s="245">
        <f>+V83+W83</f>
        <v>471154.95291190402</v>
      </c>
    </row>
    <row r="84" spans="1:24" x14ac:dyDescent="0.35">
      <c r="I84" s="714" t="s">
        <v>295</v>
      </c>
      <c r="J84" s="715">
        <f>SUM(J8:J83)+SUM(J4:J5)</f>
        <v>325243719.74070626</v>
      </c>
      <c r="K84" s="715">
        <f t="shared" ref="K84:U84" si="10">SUM(K8:K83)+SUM(K4:K5)</f>
        <v>549937309.47396147</v>
      </c>
      <c r="L84" s="715">
        <f t="shared" si="10"/>
        <v>259229531.64379305</v>
      </c>
      <c r="M84" s="715">
        <f t="shared" si="10"/>
        <v>254719448.07333571</v>
      </c>
      <c r="N84" s="715">
        <f t="shared" si="10"/>
        <v>257599395.89441273</v>
      </c>
      <c r="O84" s="715">
        <f>SUM(O8:O83)+SUM(O4:O5)</f>
        <v>238502254.00655901</v>
      </c>
      <c r="P84" s="715">
        <f t="shared" si="10"/>
        <v>235259793.37859589</v>
      </c>
      <c r="Q84" s="715">
        <f t="shared" si="10"/>
        <v>181690749.80216071</v>
      </c>
      <c r="R84" s="715">
        <f t="shared" si="10"/>
        <v>188435198.25384766</v>
      </c>
      <c r="S84" s="715">
        <f t="shared" si="10"/>
        <v>184965073.53259724</v>
      </c>
      <c r="T84" s="715">
        <f t="shared" si="10"/>
        <v>252200185.38433179</v>
      </c>
      <c r="U84" s="715">
        <f t="shared" si="10"/>
        <v>342011464.37215686</v>
      </c>
      <c r="V84" s="722">
        <f>SUM(J84:U84)</f>
        <v>3269794123.5564585</v>
      </c>
      <c r="W84" s="614"/>
    </row>
    <row r="85" spans="1:24" x14ac:dyDescent="0.35">
      <c r="I85" s="716" t="s">
        <v>542</v>
      </c>
      <c r="J85" s="717">
        <f>+J4+J5+J11+J12+J27</f>
        <v>152979127.48098087</v>
      </c>
      <c r="K85" s="717">
        <f t="shared" ref="K85:U85" si="11">+K4+K5+K11+K12+K27</f>
        <v>144158589.86175635</v>
      </c>
      <c r="L85" s="717">
        <f t="shared" si="11"/>
        <v>131329270.86774507</v>
      </c>
      <c r="M85" s="717">
        <f t="shared" si="11"/>
        <v>131492048.36980063</v>
      </c>
      <c r="N85" s="717">
        <f t="shared" si="11"/>
        <v>131238091.92998067</v>
      </c>
      <c r="O85" s="717">
        <f>+O4+O5+O11+O12+O27</f>
        <v>131913827.7115906</v>
      </c>
      <c r="P85" s="717">
        <f t="shared" si="11"/>
        <v>125079204.10384694</v>
      </c>
      <c r="Q85" s="717">
        <f t="shared" si="11"/>
        <v>76400012.542859346</v>
      </c>
      <c r="R85" s="717">
        <f t="shared" si="11"/>
        <v>79806583.478985175</v>
      </c>
      <c r="S85" s="717">
        <f t="shared" si="11"/>
        <v>80353644.332554698</v>
      </c>
      <c r="T85" s="717">
        <f t="shared" si="11"/>
        <v>141380537.89591679</v>
      </c>
      <c r="U85" s="717">
        <f t="shared" si="11"/>
        <v>176846044.92899057</v>
      </c>
      <c r="V85" s="615"/>
      <c r="W85" s="615"/>
    </row>
    <row r="86" spans="1:24" x14ac:dyDescent="0.35">
      <c r="I86" s="718" t="s">
        <v>297</v>
      </c>
      <c r="J86" s="719">
        <f>SUM(J29:J82,J14:J25,J8:J9)</f>
        <v>165592678.4173826</v>
      </c>
      <c r="K86" s="719">
        <f t="shared" ref="K86:U86" si="12">SUM(K29:K82,K14:K25,K8:K9)</f>
        <v>159752859.06240267</v>
      </c>
      <c r="L86" s="719">
        <f t="shared" si="12"/>
        <v>121420981.24943109</v>
      </c>
      <c r="M86" s="719">
        <f t="shared" si="12"/>
        <v>116528616.09600008</v>
      </c>
      <c r="N86" s="719">
        <f t="shared" si="12"/>
        <v>119850277.11093247</v>
      </c>
      <c r="O86" s="719">
        <f t="shared" si="12"/>
        <v>100198249.86825648</v>
      </c>
      <c r="P86" s="719">
        <f t="shared" si="12"/>
        <v>103780919.06890507</v>
      </c>
      <c r="Q86" s="719">
        <f t="shared" si="12"/>
        <v>98841872.016136587</v>
      </c>
      <c r="R86" s="719">
        <f t="shared" si="12"/>
        <v>102017492.21562243</v>
      </c>
      <c r="S86" s="719">
        <f t="shared" si="12"/>
        <v>98243692.61491549</v>
      </c>
      <c r="T86" s="719">
        <f t="shared" si="12"/>
        <v>104429471.0617031</v>
      </c>
      <c r="U86" s="719">
        <f t="shared" si="12"/>
        <v>158765351.45402956</v>
      </c>
      <c r="V86" s="615"/>
      <c r="W86" s="615"/>
    </row>
    <row r="87" spans="1:24" x14ac:dyDescent="0.35">
      <c r="I87" s="718" t="s">
        <v>298</v>
      </c>
      <c r="J87" s="719">
        <f>+J3+J7</f>
        <v>2273073.5656480002</v>
      </c>
      <c r="K87" s="719">
        <f t="shared" ref="K87:U87" si="13">+K3+K7</f>
        <v>2223461.5909640002</v>
      </c>
      <c r="L87" s="719">
        <f t="shared" si="13"/>
        <v>1761915.2396740001</v>
      </c>
      <c r="M87" s="719">
        <f t="shared" si="13"/>
        <v>1755693.3089999999</v>
      </c>
      <c r="N87" s="719">
        <f t="shared" si="13"/>
        <v>1753968.4173280001</v>
      </c>
      <c r="O87" s="719">
        <f t="shared" si="13"/>
        <v>1751011.4601760001</v>
      </c>
      <c r="P87" s="719">
        <f t="shared" si="13"/>
        <v>1750580.2372580001</v>
      </c>
      <c r="Q87" s="719">
        <f t="shared" si="13"/>
        <v>1753413.987862</v>
      </c>
      <c r="R87" s="719">
        <f t="shared" si="13"/>
        <v>1753413.987862</v>
      </c>
      <c r="S87" s="719">
        <f t="shared" si="13"/>
        <v>1754646.0533420001</v>
      </c>
      <c r="T87" s="719">
        <f t="shared" si="13"/>
        <v>1750826.650354</v>
      </c>
      <c r="U87" s="719">
        <f t="shared" si="13"/>
        <v>2226826.4409820004</v>
      </c>
      <c r="V87" s="724">
        <f>SUM(J87:U87)</f>
        <v>22508830.940450002</v>
      </c>
      <c r="W87" s="615"/>
    </row>
    <row r="88" spans="1:24" x14ac:dyDescent="0.35">
      <c r="I88" s="720" t="s">
        <v>543</v>
      </c>
      <c r="J88" s="721">
        <f>+J83</f>
        <v>6671913.8423428051</v>
      </c>
      <c r="K88" s="721">
        <f>+K83</f>
        <v>6686825.074069947</v>
      </c>
      <c r="L88" s="721">
        <f t="shared" ref="L88:U88" si="14">+L83</f>
        <v>6479279.5266168648</v>
      </c>
      <c r="M88" s="721">
        <f t="shared" si="14"/>
        <v>6698783.6075349478</v>
      </c>
      <c r="N88" s="721">
        <f t="shared" si="14"/>
        <v>6511026.8534995951</v>
      </c>
      <c r="O88" s="721">
        <f t="shared" si="14"/>
        <v>6390176.4267119532</v>
      </c>
      <c r="P88" s="721">
        <f t="shared" si="14"/>
        <v>6399670.2058440214</v>
      </c>
      <c r="Q88" s="721">
        <f t="shared" si="14"/>
        <v>6448865.2431647368</v>
      </c>
      <c r="R88" s="721">
        <f t="shared" si="14"/>
        <v>6611122.5592400795</v>
      </c>
      <c r="S88" s="721">
        <f t="shared" si="14"/>
        <v>6367736.585127065</v>
      </c>
      <c r="T88" s="721">
        <f t="shared" si="14"/>
        <v>6390176.4267119532</v>
      </c>
      <c r="U88" s="721">
        <f t="shared" si="14"/>
        <v>6400067.9891366251</v>
      </c>
      <c r="V88" s="615">
        <f>SUM(J88:U88)</f>
        <v>78055644.340000585</v>
      </c>
      <c r="W88" s="616"/>
    </row>
    <row r="89" spans="1:24" x14ac:dyDescent="0.35">
      <c r="D89" s="245" t="s">
        <v>1865</v>
      </c>
      <c r="I89" s="726">
        <f>I83+I81+I77+I73+I67+I61+I54+I47+I40+I35+I30+I28+I26+I21+I16+I13+I10+I6+I2-(I7+I3)</f>
        <v>3030455088.0807257</v>
      </c>
      <c r="J89" s="607">
        <f>+J85+J86+J87+J88</f>
        <v>327516793.30635428</v>
      </c>
      <c r="K89" s="607">
        <f t="shared" ref="K89:T89" si="15">+K85+K86+K87+K88</f>
        <v>312821735.58919299</v>
      </c>
      <c r="L89" s="607">
        <f t="shared" si="15"/>
        <v>260991446.88346705</v>
      </c>
      <c r="M89" s="607">
        <f t="shared" si="15"/>
        <v>256475141.38233563</v>
      </c>
      <c r="N89" s="607">
        <f t="shared" si="15"/>
        <v>259353364.31174073</v>
      </c>
      <c r="O89" s="607">
        <f t="shared" si="15"/>
        <v>240253265.46673504</v>
      </c>
      <c r="P89" s="607">
        <f t="shared" si="15"/>
        <v>237010373.61585402</v>
      </c>
      <c r="Q89" s="607">
        <f t="shared" si="15"/>
        <v>183444163.79002267</v>
      </c>
      <c r="R89" s="607">
        <f t="shared" si="15"/>
        <v>190188612.24170968</v>
      </c>
      <c r="S89" s="607">
        <f t="shared" si="15"/>
        <v>186719719.58593926</v>
      </c>
      <c r="T89" s="607">
        <f t="shared" si="15"/>
        <v>253951012.03468585</v>
      </c>
      <c r="U89" s="607">
        <f>+U85+U86+U87+U88</f>
        <v>344238290.81313878</v>
      </c>
      <c r="V89" s="615"/>
      <c r="W89" s="616"/>
    </row>
    <row r="90" spans="1:24" x14ac:dyDescent="0.35">
      <c r="D90" s="245" t="s">
        <v>298</v>
      </c>
      <c r="I90" s="591">
        <f>+I3+I7</f>
        <v>22508830.940450002</v>
      </c>
      <c r="J90" s="589"/>
      <c r="K90" s="589"/>
      <c r="L90" s="589"/>
      <c r="M90" s="589"/>
      <c r="N90" s="589"/>
      <c r="O90" s="589"/>
      <c r="P90" s="589"/>
      <c r="Q90" s="589"/>
      <c r="R90" s="589"/>
      <c r="S90" s="589"/>
      <c r="T90" s="589"/>
      <c r="U90" s="589"/>
      <c r="V90" s="592"/>
      <c r="W90" s="593"/>
    </row>
    <row r="91" spans="1:24" ht="15" thickBot="1" x14ac:dyDescent="0.4">
      <c r="D91" s="247" t="s">
        <v>1864</v>
      </c>
      <c r="I91" s="725">
        <f>SUM(I89:I90)</f>
        <v>3052963919.0211759</v>
      </c>
      <c r="J91" s="589">
        <v>3578588913.9982314</v>
      </c>
      <c r="K91" s="589">
        <f>I91-J91</f>
        <v>-525624994.97705555</v>
      </c>
      <c r="L91" s="589"/>
      <c r="M91" s="589"/>
      <c r="N91" s="589"/>
      <c r="O91" s="589"/>
      <c r="P91" s="589"/>
      <c r="Q91" s="589"/>
      <c r="R91" s="589"/>
      <c r="S91" s="589"/>
      <c r="T91" s="589"/>
      <c r="U91" s="589"/>
      <c r="V91" s="592"/>
      <c r="W91" s="593"/>
    </row>
    <row r="92" spans="1:24" ht="15" thickTop="1" x14ac:dyDescent="0.35">
      <c r="I92" s="591">
        <f>'Tariff SUMMARY 26-27'!C25-'Tariff Rand Values Old'!I91</f>
        <v>1153562901.9205594</v>
      </c>
      <c r="J92" s="589"/>
      <c r="K92" s="589"/>
      <c r="L92" s="589"/>
      <c r="M92" s="589" t="s">
        <v>1928</v>
      </c>
      <c r="N92" s="589">
        <v>2962317317</v>
      </c>
      <c r="O92" s="589">
        <f>('MSCOA - Tariff Structure'!R2*N92)+ReducedRandValuesOld!N92</f>
        <v>3323720029.6739998</v>
      </c>
      <c r="P92" s="589"/>
      <c r="Q92" s="589"/>
      <c r="R92" s="589"/>
      <c r="S92" s="589"/>
      <c r="T92" s="589"/>
      <c r="U92" s="589"/>
      <c r="V92" s="592"/>
      <c r="W92" s="593"/>
    </row>
    <row r="93" spans="1:24" x14ac:dyDescent="0.35">
      <c r="I93" s="591"/>
      <c r="J93" s="589"/>
      <c r="K93" s="589"/>
      <c r="L93" s="589"/>
      <c r="M93" s="589"/>
      <c r="N93" s="589"/>
      <c r="O93" s="589">
        <f>NewNew!V87</f>
        <v>3472441161.4946861</v>
      </c>
      <c r="P93" s="589"/>
      <c r="Q93" s="589"/>
      <c r="R93" s="589"/>
      <c r="S93" s="589"/>
      <c r="T93" s="589"/>
      <c r="U93" s="589"/>
      <c r="V93" s="592"/>
      <c r="W93" s="593"/>
    </row>
    <row r="94" spans="1:24" x14ac:dyDescent="0.35">
      <c r="I94" s="591">
        <f>3578588914-'Tariff SUMMARY 26-27'!C25</f>
        <v>-1166696245.5925322</v>
      </c>
      <c r="J94" s="589"/>
      <c r="K94" s="589"/>
      <c r="L94" s="589"/>
      <c r="M94" s="589"/>
      <c r="N94" s="589"/>
      <c r="O94" s="589">
        <f>O92-O93</f>
        <v>-148721131.82068634</v>
      </c>
      <c r="P94" s="589"/>
      <c r="Q94" s="589"/>
      <c r="R94" s="589"/>
      <c r="S94" s="589"/>
      <c r="T94" s="589"/>
      <c r="U94" s="589"/>
      <c r="V94" s="592"/>
      <c r="W94" s="593"/>
    </row>
    <row r="95" spans="1:24" ht="15.5" x14ac:dyDescent="0.35">
      <c r="I95" s="633" t="s">
        <v>1630</v>
      </c>
      <c r="V95" s="590"/>
      <c r="W95" s="590"/>
    </row>
    <row r="96" spans="1:24" s="247" customFormat="1" x14ac:dyDescent="0.35">
      <c r="D96" s="359"/>
      <c r="E96" s="359"/>
      <c r="F96" s="544"/>
      <c r="G96" s="544"/>
      <c r="H96" s="544"/>
      <c r="I96" s="595" t="s">
        <v>295</v>
      </c>
      <c r="J96" s="595">
        <f t="shared" ref="J96:U96" si="16">SUM(J97:J98)</f>
        <v>325243719.74070621</v>
      </c>
      <c r="K96" s="595">
        <f t="shared" si="16"/>
        <v>310598273.99822897</v>
      </c>
      <c r="L96" s="595">
        <f t="shared" si="16"/>
        <v>259229531.64379305</v>
      </c>
      <c r="M96" s="595">
        <f t="shared" si="16"/>
        <v>254719448.07333565</v>
      </c>
      <c r="N96" s="595">
        <f t="shared" si="16"/>
        <v>257599395.89441273</v>
      </c>
      <c r="O96" s="595">
        <f t="shared" si="16"/>
        <v>238502254.00655901</v>
      </c>
      <c r="P96" s="595">
        <f t="shared" si="16"/>
        <v>235259793.37859601</v>
      </c>
      <c r="Q96" s="595">
        <f t="shared" si="16"/>
        <v>181690749.80216068</v>
      </c>
      <c r="R96" s="595">
        <f t="shared" si="16"/>
        <v>188435198.25384766</v>
      </c>
      <c r="S96" s="595">
        <f t="shared" si="16"/>
        <v>184965073.53259727</v>
      </c>
      <c r="T96" s="595">
        <f t="shared" si="16"/>
        <v>252200185.38433182</v>
      </c>
      <c r="U96" s="595">
        <f t="shared" si="16"/>
        <v>342011464.37215674</v>
      </c>
      <c r="V96" s="620">
        <f>SUM(V97:V98)</f>
        <v>3036794810.4887495</v>
      </c>
      <c r="W96" s="596"/>
    </row>
    <row r="97" spans="4:23" x14ac:dyDescent="0.35">
      <c r="D97" s="364"/>
      <c r="E97" s="364"/>
      <c r="F97" s="545"/>
      <c r="G97" s="545"/>
      <c r="H97" s="545"/>
      <c r="I97" s="595" t="s">
        <v>296</v>
      </c>
      <c r="J97" s="617">
        <f>J27+J11+J12+J4+J5</f>
        <v>152979127.48098084</v>
      </c>
      <c r="K97" s="617">
        <f t="shared" ref="K97:T97" si="17">K27+K11+K12+K4+K5</f>
        <v>144158589.86175635</v>
      </c>
      <c r="L97" s="617">
        <f t="shared" si="17"/>
        <v>131329270.86774509</v>
      </c>
      <c r="M97" s="617">
        <f t="shared" si="17"/>
        <v>131492048.36980064</v>
      </c>
      <c r="N97" s="617">
        <f t="shared" si="17"/>
        <v>131238091.92998067</v>
      </c>
      <c r="O97" s="617">
        <f t="shared" si="17"/>
        <v>131913827.7115906</v>
      </c>
      <c r="P97" s="617">
        <f t="shared" si="17"/>
        <v>125079204.10384694</v>
      </c>
      <c r="Q97" s="617">
        <f t="shared" si="17"/>
        <v>76400012.542859346</v>
      </c>
      <c r="R97" s="617">
        <f t="shared" si="17"/>
        <v>79806583.478985175</v>
      </c>
      <c r="S97" s="617">
        <f t="shared" si="17"/>
        <v>80353644.332554713</v>
      </c>
      <c r="T97" s="617">
        <f t="shared" si="17"/>
        <v>141380537.89591676</v>
      </c>
      <c r="U97" s="617">
        <f>U27+U11+U12+U4+U5</f>
        <v>176846044.92899057</v>
      </c>
      <c r="V97" s="674">
        <f>SUM(J97:U97)</f>
        <v>1502976983.5050077</v>
      </c>
      <c r="W97" s="592"/>
    </row>
    <row r="98" spans="4:23" x14ac:dyDescent="0.35">
      <c r="D98" s="364"/>
      <c r="E98" s="364"/>
      <c r="F98" s="545"/>
      <c r="G98" s="545"/>
      <c r="H98" s="259"/>
      <c r="I98" s="595" t="s">
        <v>297</v>
      </c>
      <c r="J98" s="618">
        <f>SUM(J29:J83,J14:J25,J8:J9)</f>
        <v>172264592.25972539</v>
      </c>
      <c r="K98" s="618">
        <f t="shared" ref="K98:T98" si="18">SUM(K29:K83,K14:K25,K8:K9)</f>
        <v>166439684.13647261</v>
      </c>
      <c r="L98" s="618">
        <f t="shared" si="18"/>
        <v>127900260.77604796</v>
      </c>
      <c r="M98" s="618">
        <f t="shared" si="18"/>
        <v>123227399.70353502</v>
      </c>
      <c r="N98" s="618">
        <f t="shared" si="18"/>
        <v>126361303.96443206</v>
      </c>
      <c r="O98" s="618">
        <f t="shared" si="18"/>
        <v>106588426.29496843</v>
      </c>
      <c r="P98" s="618">
        <f t="shared" si="18"/>
        <v>110180589.27474909</v>
      </c>
      <c r="Q98" s="618">
        <f t="shared" si="18"/>
        <v>105290737.25930132</v>
      </c>
      <c r="R98" s="618">
        <f t="shared" si="18"/>
        <v>108628614.7748625</v>
      </c>
      <c r="S98" s="618">
        <f t="shared" si="18"/>
        <v>104611429.20004256</v>
      </c>
      <c r="T98" s="618">
        <f t="shared" si="18"/>
        <v>110819647.48841505</v>
      </c>
      <c r="U98" s="618">
        <f>SUM(U29:U83,U14:U25,U8:U9)</f>
        <v>165165419.4431662</v>
      </c>
      <c r="V98" s="675">
        <f>SUM(J98:U98)+6406198.4-V10-W10</f>
        <v>1533817826.9837418</v>
      </c>
      <c r="W98" s="592"/>
    </row>
    <row r="99" spans="4:23" x14ac:dyDescent="0.35">
      <c r="D99" s="364"/>
      <c r="E99" s="364"/>
      <c r="F99" s="545"/>
      <c r="G99" s="545"/>
      <c r="H99" s="545"/>
      <c r="I99" s="595" t="s">
        <v>298</v>
      </c>
      <c r="J99" s="595">
        <f>+J3+J7</f>
        <v>2273073.5656480002</v>
      </c>
      <c r="K99" s="595">
        <f t="shared" ref="K99:U99" si="19">+K3+K7</f>
        <v>2223461.5909640002</v>
      </c>
      <c r="L99" s="595">
        <f t="shared" si="19"/>
        <v>1761915.2396740001</v>
      </c>
      <c r="M99" s="595">
        <f t="shared" si="19"/>
        <v>1755693.3089999999</v>
      </c>
      <c r="N99" s="595">
        <f t="shared" si="19"/>
        <v>1753968.4173280001</v>
      </c>
      <c r="O99" s="595">
        <f t="shared" si="19"/>
        <v>1751011.4601760001</v>
      </c>
      <c r="P99" s="595">
        <f t="shared" si="19"/>
        <v>1750580.2372580001</v>
      </c>
      <c r="Q99" s="595">
        <f t="shared" si="19"/>
        <v>1753413.987862</v>
      </c>
      <c r="R99" s="595">
        <f t="shared" si="19"/>
        <v>1753413.987862</v>
      </c>
      <c r="S99" s="595">
        <f t="shared" si="19"/>
        <v>1754646.0533420001</v>
      </c>
      <c r="T99" s="595">
        <f t="shared" si="19"/>
        <v>1750826.650354</v>
      </c>
      <c r="U99" s="595">
        <f t="shared" si="19"/>
        <v>2226826.4409820004</v>
      </c>
      <c r="V99" s="665">
        <f>SUM(J99:U99)</f>
        <v>22508830.940450002</v>
      </c>
      <c r="W99" s="592"/>
    </row>
    <row r="100" spans="4:23" ht="15" thickBot="1" x14ac:dyDescent="0.4">
      <c r="D100" s="364"/>
      <c r="E100" s="364"/>
      <c r="F100" s="364"/>
      <c r="G100" s="364"/>
      <c r="H100" s="364"/>
      <c r="I100" s="587" t="s">
        <v>295</v>
      </c>
      <c r="J100" s="597">
        <f>J99+J96</f>
        <v>327516793.30635422</v>
      </c>
      <c r="K100" s="621">
        <f t="shared" ref="K100:U100" si="20">K99+K96</f>
        <v>312821735.58919299</v>
      </c>
      <c r="L100" s="621">
        <f t="shared" si="20"/>
        <v>260991446.88346705</v>
      </c>
      <c r="M100" s="621">
        <f t="shared" si="20"/>
        <v>256475141.38233563</v>
      </c>
      <c r="N100" s="621">
        <f t="shared" si="20"/>
        <v>259353364.31174073</v>
      </c>
      <c r="O100" s="621">
        <f t="shared" si="20"/>
        <v>240253265.46673501</v>
      </c>
      <c r="P100" s="621">
        <f t="shared" si="20"/>
        <v>237010373.615854</v>
      </c>
      <c r="Q100" s="621">
        <f t="shared" si="20"/>
        <v>183444163.79002267</v>
      </c>
      <c r="R100" s="621">
        <f t="shared" si="20"/>
        <v>190188612.24170965</v>
      </c>
      <c r="S100" s="621">
        <f t="shared" si="20"/>
        <v>186719719.58593929</v>
      </c>
      <c r="T100" s="621">
        <f t="shared" si="20"/>
        <v>253951012.03468582</v>
      </c>
      <c r="U100" s="621">
        <f t="shared" si="20"/>
        <v>344238290.81313872</v>
      </c>
      <c r="V100" s="712">
        <f>+V96+V99</f>
        <v>3059303641.4291997</v>
      </c>
      <c r="W100" s="587"/>
    </row>
    <row r="101" spans="4:23" ht="15" thickTop="1" x14ac:dyDescent="0.35">
      <c r="V101" s="587"/>
      <c r="W101" s="587"/>
    </row>
    <row r="102" spans="4:23" x14ac:dyDescent="0.35">
      <c r="D102" s="381"/>
      <c r="J102" s="594">
        <f t="shared" ref="J102:N102" si="21">+J100-J84</f>
        <v>2273073.5656479597</v>
      </c>
      <c r="K102" s="594">
        <f t="shared" si="21"/>
        <v>-237115573.88476849</v>
      </c>
      <c r="L102" s="594">
        <f t="shared" si="21"/>
        <v>1761915.2396740019</v>
      </c>
      <c r="M102" s="594">
        <f t="shared" si="21"/>
        <v>1755693.3089999259</v>
      </c>
      <c r="N102" s="594">
        <f t="shared" si="21"/>
        <v>1753968.4173280001</v>
      </c>
      <c r="O102" s="594">
        <f>+O100-O84</f>
        <v>1751011.4601759911</v>
      </c>
      <c r="P102" s="594">
        <f t="shared" ref="P102:U102" si="22">+P100-P84</f>
        <v>1750580.2372581065</v>
      </c>
      <c r="Q102" s="594">
        <f t="shared" si="22"/>
        <v>1753413.9878619611</v>
      </c>
      <c r="R102" s="594">
        <f t="shared" si="22"/>
        <v>1753413.9878619909</v>
      </c>
      <c r="S102" s="594">
        <f t="shared" si="22"/>
        <v>1754646.0533420444</v>
      </c>
      <c r="T102" s="594">
        <f t="shared" si="22"/>
        <v>1750826.6503540277</v>
      </c>
      <c r="U102" s="594">
        <f t="shared" si="22"/>
        <v>2226826.4409818649</v>
      </c>
    </row>
    <row r="103" spans="4:23" x14ac:dyDescent="0.35">
      <c r="J103" s="594">
        <f t="shared" ref="J103:N103" si="23">+J96-J84</f>
        <v>0</v>
      </c>
      <c r="K103" s="594">
        <f t="shared" si="23"/>
        <v>-239339035.47573251</v>
      </c>
      <c r="L103" s="594">
        <f t="shared" si="23"/>
        <v>0</v>
      </c>
      <c r="M103" s="594">
        <f t="shared" si="23"/>
        <v>0</v>
      </c>
      <c r="N103" s="594">
        <f t="shared" si="23"/>
        <v>0</v>
      </c>
      <c r="O103" s="594">
        <f>+O96-O84</f>
        <v>0</v>
      </c>
      <c r="P103" s="594">
        <f t="shared" ref="P103:U103" si="24">+P96-P84</f>
        <v>0</v>
      </c>
      <c r="Q103" s="594">
        <f t="shared" si="24"/>
        <v>0</v>
      </c>
      <c r="R103" s="594">
        <f t="shared" si="24"/>
        <v>0</v>
      </c>
      <c r="S103" s="594">
        <f t="shared" si="24"/>
        <v>0</v>
      </c>
      <c r="T103" s="594">
        <f t="shared" si="24"/>
        <v>0</v>
      </c>
      <c r="U103" s="594">
        <f t="shared" si="24"/>
        <v>0</v>
      </c>
    </row>
    <row r="106" spans="4:23" ht="16" thickBot="1" x14ac:dyDescent="0.4">
      <c r="D106" s="381"/>
      <c r="I106" s="640" t="s">
        <v>1894</v>
      </c>
      <c r="U106" s="677">
        <v>6406198.4364314079</v>
      </c>
    </row>
    <row r="107" spans="4:23" ht="15" thickTop="1" x14ac:dyDescent="0.35">
      <c r="I107" s="598" t="s">
        <v>295</v>
      </c>
      <c r="J107" s="622">
        <f t="shared" ref="J107:U107" si="25">SUM(J108:J109)</f>
        <v>392752818.72143769</v>
      </c>
      <c r="K107" s="622">
        <f t="shared" si="25"/>
        <v>372486859.46091557</v>
      </c>
      <c r="L107" s="622">
        <f t="shared" si="25"/>
        <v>346770667.36265957</v>
      </c>
      <c r="M107" s="622">
        <f t="shared" si="25"/>
        <v>296907179.5448786</v>
      </c>
      <c r="N107" s="622">
        <f t="shared" si="25"/>
        <v>290040020.81621772</v>
      </c>
      <c r="O107" s="622">
        <f t="shared" si="25"/>
        <v>286971159.69779038</v>
      </c>
      <c r="P107" s="622">
        <f t="shared" si="25"/>
        <v>277146355.3649087</v>
      </c>
      <c r="Q107" s="622">
        <f t="shared" si="25"/>
        <v>221914661.56750453</v>
      </c>
      <c r="R107" s="622">
        <f t="shared" si="25"/>
        <v>193047258.72693837</v>
      </c>
      <c r="S107" s="622">
        <f t="shared" si="25"/>
        <v>197781655.08023739</v>
      </c>
      <c r="T107" s="622">
        <f t="shared" si="25"/>
        <v>261924655.46746859</v>
      </c>
      <c r="U107" s="622">
        <f t="shared" si="25"/>
        <v>347541868.20970142</v>
      </c>
      <c r="V107" s="673">
        <f>SUM(J107:U107)</f>
        <v>3485285160.0206585</v>
      </c>
    </row>
    <row r="108" spans="4:23" x14ac:dyDescent="0.35">
      <c r="I108" s="598" t="s">
        <v>296</v>
      </c>
      <c r="J108" s="623">
        <f>J97*(1+'MSCOA - Tariff Structure'!$R$2)</f>
        <v>171642581.0336605</v>
      </c>
      <c r="K108" s="623">
        <f>K97*(1+'MSCOA - Tariff Structure'!$R$2)</f>
        <v>161745937.82489061</v>
      </c>
      <c r="L108" s="623">
        <f>L97*(1+'MSCOA - Tariff Structure'!$R$2)</f>
        <v>147351441.91360998</v>
      </c>
      <c r="M108" s="623">
        <f>M97*(1+'MSCOA - Tariff Structure'!$R$2)</f>
        <v>147534078.27091631</v>
      </c>
      <c r="N108" s="623">
        <f>N97*(1+'MSCOA - Tariff Structure'!$R$2)</f>
        <v>147249139.14543828</v>
      </c>
      <c r="O108" s="623">
        <f>O97*(1+'MSCOA - Tariff Structure'!$R$2)</f>
        <v>148007314.69240463</v>
      </c>
      <c r="P108" s="623">
        <f>P97*(1+'MSCOA - Tariff Structure'!$R$2)</f>
        <v>140338867.00451624</v>
      </c>
      <c r="Q108" s="623">
        <f>Q97*(1+'MSCOA - Tariff Structure'!$R$2)</f>
        <v>85720814.073088184</v>
      </c>
      <c r="R108" s="623">
        <f>R97*(1+'MSCOA - Tariff Structure'!$R$2)</f>
        <v>89542986.663421363</v>
      </c>
      <c r="S108" s="623">
        <f>S97*(1+'MSCOA - Tariff Structure'!$R$2)</f>
        <v>90156788.941126376</v>
      </c>
      <c r="T108" s="623">
        <f>T97*(1+'MSCOA - Tariff Structure'!$R$2)</f>
        <v>158628963.51921859</v>
      </c>
      <c r="U108" s="623">
        <f>U97*(1+'MSCOA - Tariff Structure'!$R$2)</f>
        <v>198421262.4103274</v>
      </c>
      <c r="V108" s="668">
        <f>SUM(J108:U108)</f>
        <v>1686340175.4926188</v>
      </c>
    </row>
    <row r="109" spans="4:23" x14ac:dyDescent="0.35">
      <c r="I109" s="598" t="s">
        <v>297</v>
      </c>
      <c r="J109" s="623">
        <v>221110237.68777719</v>
      </c>
      <c r="K109" s="623">
        <v>210740921.63602492</v>
      </c>
      <c r="L109" s="623">
        <v>199419225.44904962</v>
      </c>
      <c r="M109" s="623">
        <v>149373101.27396232</v>
      </c>
      <c r="N109" s="623">
        <v>142790881.67077944</v>
      </c>
      <c r="O109" s="623">
        <v>138963845.00538576</v>
      </c>
      <c r="P109" s="623">
        <v>136807488.36039245</v>
      </c>
      <c r="Q109" s="623">
        <v>136193847.49441633</v>
      </c>
      <c r="R109" s="623">
        <v>103504272.063517</v>
      </c>
      <c r="S109" s="623">
        <v>107624866.139111</v>
      </c>
      <c r="T109" s="623">
        <f>135916702.94825-32621011</f>
        <v>103295691.94825</v>
      </c>
      <c r="U109" s="623">
        <v>149120605.79937401</v>
      </c>
      <c r="V109" s="669">
        <f>SUM(J109:U109)</f>
        <v>1798944984.5280402</v>
      </c>
    </row>
    <row r="110" spans="4:23" x14ac:dyDescent="0.35">
      <c r="I110" s="598" t="s">
        <v>298</v>
      </c>
      <c r="J110" s="623">
        <f>J99*(1+'MSCOA - Tariff Structure'!$R$2)</f>
        <v>2550388.540657056</v>
      </c>
      <c r="K110" s="623">
        <f>K99*(1+'MSCOA - Tariff Structure'!$R$2)</f>
        <v>2494723.9050616082</v>
      </c>
      <c r="L110" s="623">
        <f>L99*(1+'MSCOA - Tariff Structure'!$R$2)</f>
        <v>1976868.898914228</v>
      </c>
      <c r="M110" s="623">
        <f>M99*(1+'MSCOA - Tariff Structure'!$R$2)</f>
        <v>1969887.8926979997</v>
      </c>
      <c r="N110" s="623">
        <f>N99*(1+'MSCOA - Tariff Structure'!$R$2)</f>
        <v>1967952.5642420158</v>
      </c>
      <c r="O110" s="623">
        <f>O99*(1+'MSCOA - Tariff Structure'!$R$2)</f>
        <v>1964634.858317472</v>
      </c>
      <c r="P110" s="623">
        <f>P99*(1+'MSCOA - Tariff Structure'!$R$2)</f>
        <v>1964151.0262034759</v>
      </c>
      <c r="Q110" s="623">
        <f>Q99*(1+'MSCOA - Tariff Structure'!$R$2)</f>
        <v>1967330.4943811637</v>
      </c>
      <c r="R110" s="623">
        <f>R99*(1+'MSCOA - Tariff Structure'!$R$2)</f>
        <v>1967330.4943811637</v>
      </c>
      <c r="S110" s="623">
        <f>S99*(1+'MSCOA - Tariff Structure'!$R$2)</f>
        <v>1968712.8718497239</v>
      </c>
      <c r="T110" s="623">
        <f>T99*(1+'MSCOA - Tariff Structure'!$R$2)</f>
        <v>1964427.5016971878</v>
      </c>
      <c r="U110" s="623">
        <f>U99*(1+'MSCOA - Tariff Structure'!$R$2)</f>
        <v>2498499.2667818042</v>
      </c>
      <c r="V110" s="667">
        <f>SUM(J110:U110)</f>
        <v>25254908.315184899</v>
      </c>
    </row>
    <row r="111" spans="4:23" ht="16" thickBot="1" x14ac:dyDescent="0.4">
      <c r="I111" s="588" t="s">
        <v>295</v>
      </c>
      <c r="J111" s="621">
        <f t="shared" ref="J111:U111" si="26">J110+J107</f>
        <v>395303207.26209474</v>
      </c>
      <c r="K111" s="621">
        <f t="shared" si="26"/>
        <v>374981583.36597717</v>
      </c>
      <c r="L111" s="621">
        <f t="shared" si="26"/>
        <v>348747536.26157379</v>
      </c>
      <c r="M111" s="621">
        <f t="shared" si="26"/>
        <v>298877067.43757659</v>
      </c>
      <c r="N111" s="621">
        <f t="shared" si="26"/>
        <v>292007973.38045973</v>
      </c>
      <c r="O111" s="621">
        <f t="shared" si="26"/>
        <v>288935794.55610788</v>
      </c>
      <c r="P111" s="621">
        <f t="shared" si="26"/>
        <v>279110506.39111215</v>
      </c>
      <c r="Q111" s="621">
        <f t="shared" si="26"/>
        <v>223881992.06188568</v>
      </c>
      <c r="R111" s="621">
        <f t="shared" si="26"/>
        <v>195014589.22131953</v>
      </c>
      <c r="S111" s="621">
        <f t="shared" si="26"/>
        <v>199750367.9520871</v>
      </c>
      <c r="T111" s="621">
        <f t="shared" si="26"/>
        <v>263889082.96916577</v>
      </c>
      <c r="U111" s="621">
        <f t="shared" si="26"/>
        <v>350040367.47648323</v>
      </c>
      <c r="V111" s="712">
        <f>V110+V107</f>
        <v>3510540068.3358436</v>
      </c>
      <c r="W111" s="824"/>
    </row>
    <row r="112" spans="4:23" ht="15" thickTop="1" x14ac:dyDescent="0.35">
      <c r="V112" s="594">
        <f>+'MSCOA - Tariff Structure'!R136</f>
        <v>0</v>
      </c>
      <c r="W112" s="594">
        <f>+V112/12</f>
        <v>0</v>
      </c>
    </row>
    <row r="114" spans="9:23" ht="15.5" x14ac:dyDescent="0.35">
      <c r="I114" s="640" t="s">
        <v>1901</v>
      </c>
    </row>
    <row r="115" spans="9:23" x14ac:dyDescent="0.35">
      <c r="I115" s="599" t="s">
        <v>295</v>
      </c>
      <c r="J115" s="624">
        <f t="shared" ref="J115:U115" si="27">SUM(J116:J117)</f>
        <v>423667880.70324939</v>
      </c>
      <c r="K115" s="624">
        <f t="shared" si="27"/>
        <v>401697749.1464591</v>
      </c>
      <c r="L115" s="624">
        <f t="shared" si="27"/>
        <v>373675841.53060353</v>
      </c>
      <c r="M115" s="624">
        <f t="shared" si="27"/>
        <v>321532878.90907454</v>
      </c>
      <c r="N115" s="624">
        <f t="shared" si="27"/>
        <v>314327605.62710798</v>
      </c>
      <c r="O115" s="624">
        <f t="shared" si="27"/>
        <v>311176714.58989632</v>
      </c>
      <c r="P115" s="624">
        <f t="shared" si="27"/>
        <v>300301830.33804679</v>
      </c>
      <c r="Q115" s="624">
        <f t="shared" si="27"/>
        <v>238269270.49731061</v>
      </c>
      <c r="R115" s="624">
        <f t="shared" si="27"/>
        <v>250212096.58812469</v>
      </c>
      <c r="S115" s="624">
        <f t="shared" si="27"/>
        <v>182087896.75133607</v>
      </c>
      <c r="T115" s="624">
        <f t="shared" si="27"/>
        <v>279928137.2794717</v>
      </c>
      <c r="U115" s="624">
        <f t="shared" si="27"/>
        <v>378465963.61535323</v>
      </c>
      <c r="V115" s="672">
        <f>SUM(J115:U115)</f>
        <v>3775343865.5760341</v>
      </c>
    </row>
    <row r="116" spans="9:23" x14ac:dyDescent="0.35">
      <c r="I116" s="599" t="s">
        <v>296</v>
      </c>
      <c r="J116" s="625">
        <f>J108*(1+'MSCOA - Tariff Structure'!$S$2)</f>
        <v>192926261.08183444</v>
      </c>
      <c r="K116" s="625">
        <f>K108*(1+'MSCOA - Tariff Structure'!$S$2)</f>
        <v>181802434.11517707</v>
      </c>
      <c r="L116" s="625">
        <f>L108*(1+'MSCOA - Tariff Structure'!$S$2)</f>
        <v>165623020.71089762</v>
      </c>
      <c r="M116" s="625">
        <f>M108*(1+'MSCOA - Tariff Structure'!$S$2)</f>
        <v>165828303.97650996</v>
      </c>
      <c r="N116" s="625">
        <f>N108*(1+'MSCOA - Tariff Structure'!$S$2)</f>
        <v>165508032.39947265</v>
      </c>
      <c r="O116" s="625">
        <f>O108*(1+'MSCOA - Tariff Structure'!$S$2)</f>
        <v>166360221.71426281</v>
      </c>
      <c r="P116" s="625">
        <f>P108*(1+'MSCOA - Tariff Structure'!$S$2)</f>
        <v>157740886.51307628</v>
      </c>
      <c r="Q116" s="625">
        <f>Q108*(1+'MSCOA - Tariff Structure'!$S$2)</f>
        <v>96350195.018151134</v>
      </c>
      <c r="R116" s="625">
        <f>R108*(1+'MSCOA - Tariff Structure'!$S$2)</f>
        <v>100646317.00968562</v>
      </c>
      <c r="S116" s="625">
        <f>S108*(1+'MSCOA - Tariff Structure'!$S$2)</f>
        <v>101336230.76982605</v>
      </c>
      <c r="T116" s="625">
        <f>T108*(1+'MSCOA - Tariff Structure'!$S$2)</f>
        <v>178298954.99560171</v>
      </c>
      <c r="U116" s="625">
        <f>U108*(1+'MSCOA - Tariff Structure'!$S$2)</f>
        <v>223025498.94920802</v>
      </c>
      <c r="V116" s="670">
        <f>SUM(J116:U116)</f>
        <v>1895446357.2537029</v>
      </c>
    </row>
    <row r="117" spans="9:23" x14ac:dyDescent="0.35">
      <c r="I117" s="599" t="s">
        <v>297</v>
      </c>
      <c r="J117" s="626">
        <v>230741619.62141496</v>
      </c>
      <c r="K117" s="626">
        <v>219895315.03128207</v>
      </c>
      <c r="L117" s="626">
        <v>208052820.8197059</v>
      </c>
      <c r="M117" s="626">
        <v>155704574.93256459</v>
      </c>
      <c r="N117" s="626">
        <v>148819573.22763529</v>
      </c>
      <c r="O117" s="626">
        <v>144816492.87563351</v>
      </c>
      <c r="P117" s="626">
        <v>142560943.82497051</v>
      </c>
      <c r="Q117" s="626">
        <v>141919075.47915947</v>
      </c>
      <c r="R117" s="626">
        <v>149565779.57843909</v>
      </c>
      <c r="S117" s="626">
        <f>143415920.98151-62664255</f>
        <v>80751665.981510013</v>
      </c>
      <c r="T117" s="626">
        <v>101629182.28387</v>
      </c>
      <c r="U117" s="626">
        <v>155440464.66614524</v>
      </c>
      <c r="V117" s="671">
        <f>SUM(J117:U117)</f>
        <v>1879897508.3223307</v>
      </c>
    </row>
    <row r="118" spans="9:23" x14ac:dyDescent="0.35">
      <c r="I118" s="599" t="s">
        <v>298</v>
      </c>
      <c r="J118" s="624">
        <f>J110*(1+'MSCOA - Tariff Structure'!$S$2)</f>
        <v>2866636.7196985311</v>
      </c>
      <c r="K118" s="624">
        <f>K110*(1+'MSCOA - Tariff Structure'!$S$2)</f>
        <v>2804069.6692892481</v>
      </c>
      <c r="L118" s="624">
        <f>L110*(1+'MSCOA - Tariff Structure'!$S$2)</f>
        <v>2222000.6423795926</v>
      </c>
      <c r="M118" s="624">
        <f>M110*(1+'MSCOA - Tariff Structure'!$S$2)</f>
        <v>2214153.9913925519</v>
      </c>
      <c r="N118" s="624">
        <f>N110*(1+'MSCOA - Tariff Structure'!$S$2)</f>
        <v>2211978.6822080258</v>
      </c>
      <c r="O118" s="624">
        <f>O110*(1+'MSCOA - Tariff Structure'!$S$2)</f>
        <v>2208249.5807488388</v>
      </c>
      <c r="P118" s="624">
        <f>P110*(1+'MSCOA - Tariff Structure'!$S$2)</f>
        <v>2207705.7534527071</v>
      </c>
      <c r="Q118" s="624">
        <f>Q110*(1+'MSCOA - Tariff Structure'!$S$2)</f>
        <v>2211279.4756844281</v>
      </c>
      <c r="R118" s="624">
        <f>R110*(1+'MSCOA - Tariff Structure'!$S$2)</f>
        <v>2211279.4756844281</v>
      </c>
      <c r="S118" s="624">
        <f>S110*(1+'MSCOA - Tariff Structure'!$S$2)</f>
        <v>2212833.2679590899</v>
      </c>
      <c r="T118" s="624">
        <f>T110*(1+'MSCOA - Tariff Structure'!$S$2)</f>
        <v>2208016.5119076394</v>
      </c>
      <c r="U118" s="624">
        <f>U110*(1+'MSCOA - Tariff Structure'!$S$2)</f>
        <v>2808313.1758627482</v>
      </c>
      <c r="V118" s="666">
        <f>SUM(J118:U118)</f>
        <v>28386516.946267828</v>
      </c>
    </row>
    <row r="119" spans="9:23" ht="16" thickBot="1" x14ac:dyDescent="0.4">
      <c r="I119" s="588" t="s">
        <v>295</v>
      </c>
      <c r="J119" s="600">
        <f>J118+J115</f>
        <v>426534517.42294794</v>
      </c>
      <c r="K119" s="600">
        <v>311032262.4018563</v>
      </c>
      <c r="L119" s="600">
        <v>225510992.37519026</v>
      </c>
      <c r="M119" s="600">
        <v>230662146.40053257</v>
      </c>
      <c r="N119" s="600">
        <v>222922453.6584309</v>
      </c>
      <c r="O119" s="600">
        <v>228941128.37371519</v>
      </c>
      <c r="P119" s="600">
        <v>220578507.05558565</v>
      </c>
      <c r="Q119" s="600">
        <v>228007322.84770188</v>
      </c>
      <c r="R119" s="600">
        <v>219368370.08243343</v>
      </c>
      <c r="S119" s="600">
        <v>212544135.36012834</v>
      </c>
      <c r="T119" s="600">
        <v>230929335.16652182</v>
      </c>
      <c r="U119" s="600">
        <v>305966983.23778534</v>
      </c>
      <c r="V119" s="713">
        <f>V118+V115</f>
        <v>3803730382.5223017</v>
      </c>
      <c r="W119" s="824">
        <v>-3830878490.9175</v>
      </c>
    </row>
    <row r="120" spans="9:23" ht="15" thickTop="1" x14ac:dyDescent="0.35">
      <c r="W120" s="594">
        <f>V119+W119</f>
        <v>-27148108.395198345</v>
      </c>
    </row>
    <row r="122" spans="9:23" ht="15.5" x14ac:dyDescent="0.35">
      <c r="I122" s="640" t="s">
        <v>1630</v>
      </c>
    </row>
    <row r="123" spans="9:23" x14ac:dyDescent="0.35">
      <c r="I123" s="641" t="s">
        <v>295</v>
      </c>
      <c r="J123" s="642">
        <f>SUM(J124:J125)</f>
        <v>450104756.45913219</v>
      </c>
      <c r="K123" s="642">
        <f t="shared" ref="K123:U123" si="28">SUM(K124:K125)</f>
        <v>426763688.6931982</v>
      </c>
      <c r="L123" s="642">
        <f t="shared" si="28"/>
        <v>396993214.04211318</v>
      </c>
      <c r="M123" s="642">
        <f t="shared" si="28"/>
        <v>341596530.55300081</v>
      </c>
      <c r="N123" s="642">
        <f t="shared" si="28"/>
        <v>333941648.21823949</v>
      </c>
      <c r="O123" s="642">
        <f t="shared" si="28"/>
        <v>330594141.58030581</v>
      </c>
      <c r="P123" s="642">
        <f t="shared" si="28"/>
        <v>319040664.5511409</v>
      </c>
      <c r="Q123" s="642">
        <f t="shared" si="28"/>
        <v>253137272.9763428</v>
      </c>
      <c r="R123" s="642">
        <f t="shared" si="28"/>
        <v>265825331.41522372</v>
      </c>
      <c r="S123" s="642">
        <f t="shared" si="28"/>
        <v>193450181.50861943</v>
      </c>
      <c r="T123" s="642">
        <f t="shared" si="28"/>
        <v>297395653.04571074</v>
      </c>
      <c r="U123" s="642">
        <f t="shared" si="28"/>
        <v>402082239.74495131</v>
      </c>
      <c r="V123" s="642">
        <f>SUM(J123:U123)</f>
        <v>4010925322.7879782</v>
      </c>
    </row>
    <row r="124" spans="9:23" x14ac:dyDescent="0.35">
      <c r="I124" s="641" t="s">
        <v>296</v>
      </c>
      <c r="J124" s="643">
        <f>J116*(1+'Tariff Structure to complete'!$U$2)</f>
        <v>204964859.77334091</v>
      </c>
      <c r="K124" s="644">
        <f>K116*(1+'Tariff Structure to complete'!$U$2)</f>
        <v>193146906.00396413</v>
      </c>
      <c r="L124" s="644">
        <f>L116*(1+'Tariff Structure to complete'!$U$2)</f>
        <v>175957897.20325765</v>
      </c>
      <c r="M124" s="644">
        <f>M116*(1+'Tariff Structure to complete'!$U$2)</f>
        <v>176175990.14464417</v>
      </c>
      <c r="N124" s="644">
        <f>N116*(1+'Tariff Structure to complete'!$U$2)</f>
        <v>175835733.62119976</v>
      </c>
      <c r="O124" s="644">
        <f>O116*(1+'Tariff Structure to complete'!$U$2)</f>
        <v>176741099.54923281</v>
      </c>
      <c r="P124" s="644">
        <f>P116*(1+'Tariff Structure to complete'!$U$2)</f>
        <v>167583917.83149225</v>
      </c>
      <c r="Q124" s="644">
        <f>Q116*(1+'Tariff Structure to complete'!$U$2)</f>
        <v>102362447.18728377</v>
      </c>
      <c r="R124" s="644">
        <f>R116*(1+'Tariff Structure to complete'!$U$2)</f>
        <v>106926647.19109</v>
      </c>
      <c r="S124" s="644">
        <f>S116*(1+'Tariff Structure to complete'!$U$2)</f>
        <v>107659611.5698632</v>
      </c>
      <c r="T124" s="644">
        <f>T116*(1+'Tariff Structure to complete'!$U$2)</f>
        <v>189424809.78732726</v>
      </c>
      <c r="U124" s="644">
        <f>U116*(1+'Tariff Structure to complete'!$U$2)</f>
        <v>236942290.08363861</v>
      </c>
      <c r="V124" s="645">
        <f>SUM(J124:U124)</f>
        <v>2013722209.9463344</v>
      </c>
    </row>
    <row r="125" spans="9:23" x14ac:dyDescent="0.35">
      <c r="I125" s="641" t="s">
        <v>297</v>
      </c>
      <c r="J125" s="646">
        <f>J117*(1+'Tariff Structure to complete'!$U$2)</f>
        <v>245139896.68579125</v>
      </c>
      <c r="K125" s="647">
        <f>K117*(1+'Tariff Structure to complete'!$U$2)</f>
        <v>233616782.68923408</v>
      </c>
      <c r="L125" s="647">
        <f>L117*(1+'Tariff Structure to complete'!$U$2)</f>
        <v>221035316.83885556</v>
      </c>
      <c r="M125" s="647">
        <f>M117*(1+'Tariff Structure to complete'!$U$2)</f>
        <v>165420540.40835661</v>
      </c>
      <c r="N125" s="647">
        <f>N117*(1+'Tariff Structure to complete'!$U$2)</f>
        <v>158105914.59703973</v>
      </c>
      <c r="O125" s="647">
        <f>O117*(1+'Tariff Structure to complete'!$U$2)</f>
        <v>153853042.03107303</v>
      </c>
      <c r="P125" s="647">
        <f>P117*(1+'Tariff Structure to complete'!$U$2)</f>
        <v>151456746.71964869</v>
      </c>
      <c r="Q125" s="647">
        <f>Q117*(1+'Tariff Structure to complete'!$U$2)</f>
        <v>150774825.78905901</v>
      </c>
      <c r="R125" s="647">
        <f>R117*(1+'Tariff Structure to complete'!$U$2)</f>
        <v>158898684.2241337</v>
      </c>
      <c r="S125" s="647">
        <f>S117*(1+'Tariff Structure to complete'!$U$2)</f>
        <v>85790569.938756242</v>
      </c>
      <c r="T125" s="647">
        <f>T117*(1+'Tariff Structure to complete'!$U$2)</f>
        <v>107970843.25838348</v>
      </c>
      <c r="U125" s="647">
        <f>U117*(1+'Tariff Structure to complete'!$U$2)</f>
        <v>165139949.6613127</v>
      </c>
      <c r="V125" s="648">
        <f>SUM(J125:U125)</f>
        <v>1997203112.8416438</v>
      </c>
    </row>
    <row r="126" spans="9:23" x14ac:dyDescent="0.35">
      <c r="I126" s="641" t="s">
        <v>298</v>
      </c>
      <c r="J126" s="642">
        <f>J118*(1+'Tariff Structure to complete'!$U$2)</f>
        <v>3045514.8510077195</v>
      </c>
      <c r="K126" s="642">
        <f>K118*(1+'Tariff Structure to complete'!$U$2)</f>
        <v>2979043.6166528971</v>
      </c>
      <c r="L126" s="642">
        <f>L118*(1+'Tariff Structure to complete'!$U$2)</f>
        <v>2360653.4824640793</v>
      </c>
      <c r="M126" s="642">
        <f>M118*(1+'Tariff Structure to complete'!$U$2)</f>
        <v>2352317.2004554472</v>
      </c>
      <c r="N126" s="642">
        <f>N118*(1+'Tariff Structure to complete'!$U$2)</f>
        <v>2350006.1519778068</v>
      </c>
      <c r="O126" s="642">
        <f>O118*(1+'Tariff Structure to complete'!$U$2)</f>
        <v>2346044.3545875666</v>
      </c>
      <c r="P126" s="642">
        <f>P118*(1+'Tariff Structure to complete'!$U$2)</f>
        <v>2345466.592468156</v>
      </c>
      <c r="Q126" s="642">
        <f>Q118*(1+'Tariff Structure to complete'!$U$2)</f>
        <v>2349263.3149671364</v>
      </c>
      <c r="R126" s="642">
        <f>R118*(1+'Tariff Structure to complete'!$U$2)</f>
        <v>2349263.3149671364</v>
      </c>
      <c r="S126" s="642">
        <f>S118*(1+'Tariff Structure to complete'!$U$2)</f>
        <v>2350914.0638797372</v>
      </c>
      <c r="T126" s="642">
        <f>T118*(1+'Tariff Structure to complete'!$U$2)</f>
        <v>2345796.7422506763</v>
      </c>
      <c r="U126" s="642">
        <f>U118*(1+'Tariff Structure to complete'!$U$2)</f>
        <v>2983551.9180365838</v>
      </c>
      <c r="V126" s="649">
        <f>SUM(J126:U126)</f>
        <v>30157835.603714943</v>
      </c>
    </row>
    <row r="127" spans="9:23" ht="15" thickBot="1" x14ac:dyDescent="0.4">
      <c r="I127" s="588" t="s">
        <v>295</v>
      </c>
      <c r="J127" s="600">
        <f>J126+J123</f>
        <v>453150271.31013989</v>
      </c>
      <c r="K127" s="600">
        <v>311032262.4018563</v>
      </c>
      <c r="L127" s="600">
        <v>225510992.37519026</v>
      </c>
      <c r="M127" s="600">
        <v>230662146.40053257</v>
      </c>
      <c r="N127" s="600">
        <v>222922453.6584309</v>
      </c>
      <c r="O127" s="600">
        <v>228941128.37371519</v>
      </c>
      <c r="P127" s="600">
        <v>220578507.05558565</v>
      </c>
      <c r="Q127" s="600">
        <v>228007322.84770188</v>
      </c>
      <c r="R127" s="600">
        <v>219368370.08243343</v>
      </c>
      <c r="S127" s="600">
        <v>212544135.36012834</v>
      </c>
      <c r="T127" s="600">
        <v>230929335.16652182</v>
      </c>
      <c r="U127" s="600">
        <v>305966983.23778534</v>
      </c>
      <c r="V127" s="600">
        <f>V126+V123</f>
        <v>4041083158.3916931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27</vt:i4>
      </vt:variant>
      <vt:variant>
        <vt:lpstr>Named Ranges</vt:lpstr>
      </vt:variant>
      <vt:variant>
        <vt:i4>10</vt:i4>
      </vt:variant>
    </vt:vector>
  </HeadingPairs>
  <TitlesOfParts>
    <vt:vector size="37" baseType="lpstr">
      <vt:lpstr>Tariff SUMMARY 26-27</vt:lpstr>
      <vt:lpstr>FBE</vt:lpstr>
      <vt:lpstr>Summary</vt:lpstr>
      <vt:lpstr>Tariff Structure to complete</vt:lpstr>
      <vt:lpstr>MSCOA - Tariff Structure</vt:lpstr>
      <vt:lpstr>Tariff SUMMARY 25-26</vt:lpstr>
      <vt:lpstr>Tariff Rand Values Old</vt:lpstr>
      <vt:lpstr>TariffRandValuesReworked</vt:lpstr>
      <vt:lpstr>ReducedRandValuesOld</vt:lpstr>
      <vt:lpstr>TariffRandValues20232024</vt:lpstr>
      <vt:lpstr>TariffRandValues2324Reworked</vt:lpstr>
      <vt:lpstr>Tariff Rand Values 2024-25</vt:lpstr>
      <vt:lpstr>Tariff Rand Values 2024-25 Actu</vt:lpstr>
      <vt:lpstr>Tariff Rand Values 2025-26</vt:lpstr>
      <vt:lpstr>Tariff Rand Values 2026-27</vt:lpstr>
      <vt:lpstr>Annexure A</vt:lpstr>
      <vt:lpstr>NewNew</vt:lpstr>
      <vt:lpstr>SOLAR BUDGET </vt:lpstr>
      <vt:lpstr>SCOA 5.3</vt:lpstr>
      <vt:lpstr>BP091-TARIFF-CENTLE-EL</vt:lpstr>
      <vt:lpstr>BUDGET FIGURES - APPROVED</vt:lpstr>
      <vt:lpstr>Lenka - mSCOA MAPPING</vt:lpstr>
      <vt:lpstr>Tariff - RAND VALUES</vt:lpstr>
      <vt:lpstr>V5.1 (SCOA FRAMWORK)</vt:lpstr>
      <vt:lpstr>R-Value</vt:lpstr>
      <vt:lpstr>CFO - 1</vt:lpstr>
      <vt:lpstr>CFO - 2 Presentation</vt:lpstr>
      <vt:lpstr>'Annexure A'!Print_Area</vt:lpstr>
      <vt:lpstr>'CFO - 2 Presentation'!Print_Area</vt:lpstr>
      <vt:lpstr>'MSCOA - Tariff Structure'!Print_Area</vt:lpstr>
      <vt:lpstr>Summary!Print_Area</vt:lpstr>
      <vt:lpstr>'Tariff Rand Values 2024-25'!Print_Area</vt:lpstr>
      <vt:lpstr>'Tariff Rand Values 2025-26'!Print_Area</vt:lpstr>
      <vt:lpstr>'Tariff Rand Values Old'!Print_Area</vt:lpstr>
      <vt:lpstr>'Tariff SUMMARY 26-27'!Print_Area</vt:lpstr>
      <vt:lpstr>'V5.1 (SCOA FRAMWORK)'!Print_Area</vt:lpstr>
      <vt:lpstr>'V5.1 (SCOA FRAMWORK)'!Print_Titles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Steyn</dc:creator>
  <cp:lastModifiedBy>Ramabilikoe Mosola</cp:lastModifiedBy>
  <cp:lastPrinted>2025-11-21T06:08:26Z</cp:lastPrinted>
  <dcterms:created xsi:type="dcterms:W3CDTF">2012-07-12T17:53:06Z</dcterms:created>
  <dcterms:modified xsi:type="dcterms:W3CDTF">2026-03-12T07:32:25Z</dcterms:modified>
</cp:coreProperties>
</file>